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75" windowWidth="17235" windowHeight="9780"/>
  </bookViews>
  <sheets>
    <sheet name="Prices &amp; References" sheetId="1" r:id="rId1"/>
    <sheet name="Normalized Values" sheetId="4" r:id="rId2"/>
    <sheet name="DV-IDENTITY-0" sheetId="5" state="veryHidden" r:id="rId3"/>
  </sheets>
  <calcPr calcId="145621"/>
</workbook>
</file>

<file path=xl/calcChain.xml><?xml version="1.0" encoding="utf-8"?>
<calcChain xmlns="http://schemas.openxmlformats.org/spreadsheetml/2006/main">
  <c r="A6" i="5" l="1"/>
  <c r="B6" i="5"/>
  <c r="C6" i="5"/>
  <c r="D6" i="5"/>
  <c r="E6" i="5"/>
  <c r="B28" i="4"/>
  <c r="A5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W5" i="5"/>
  <c r="BX5" i="5"/>
  <c r="BY5" i="5"/>
  <c r="BZ5" i="5"/>
  <c r="CA5" i="5"/>
  <c r="CB5" i="5"/>
  <c r="CC5" i="5"/>
  <c r="CD5" i="5"/>
  <c r="CE5" i="5"/>
  <c r="CF5" i="5"/>
  <c r="CG5" i="5"/>
  <c r="CH5" i="5"/>
  <c r="CI5" i="5"/>
  <c r="CJ5" i="5"/>
  <c r="CK5" i="5"/>
  <c r="CL5" i="5"/>
  <c r="CM5" i="5"/>
  <c r="CN5" i="5"/>
  <c r="CO5" i="5"/>
  <c r="CP5" i="5"/>
  <c r="CQ5" i="5"/>
  <c r="CR5" i="5"/>
  <c r="CS5" i="5"/>
  <c r="CT5" i="5"/>
  <c r="CU5" i="5"/>
  <c r="CV5" i="5"/>
  <c r="CW5" i="5"/>
  <c r="CX5" i="5"/>
  <c r="CY5" i="5"/>
  <c r="CZ5" i="5"/>
  <c r="DA5" i="5"/>
  <c r="DB5" i="5"/>
  <c r="DC5" i="5"/>
  <c r="DD5" i="5"/>
  <c r="DE5" i="5"/>
  <c r="DF5" i="5"/>
  <c r="DG5" i="5"/>
  <c r="DH5" i="5"/>
  <c r="DI5" i="5"/>
  <c r="A4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AZ4" i="5"/>
  <c r="BA4" i="5"/>
  <c r="BB4" i="5"/>
  <c r="BC4" i="5"/>
  <c r="BD4" i="5"/>
  <c r="BE4" i="5"/>
  <c r="BF4" i="5"/>
  <c r="BG4" i="5"/>
  <c r="BH4" i="5"/>
  <c r="BI4" i="5"/>
  <c r="BJ4" i="5"/>
  <c r="BK4" i="5"/>
  <c r="BL4" i="5"/>
  <c r="BM4" i="5"/>
  <c r="BN4" i="5"/>
  <c r="BO4" i="5"/>
  <c r="BP4" i="5"/>
  <c r="BQ4" i="5"/>
  <c r="BR4" i="5"/>
  <c r="BS4" i="5"/>
  <c r="BT4" i="5"/>
  <c r="BU4" i="5"/>
  <c r="BV4" i="5"/>
  <c r="BW4" i="5"/>
  <c r="BX4" i="5"/>
  <c r="BY4" i="5"/>
  <c r="BZ4" i="5"/>
  <c r="CA4" i="5"/>
  <c r="CB4" i="5"/>
  <c r="CC4" i="5"/>
  <c r="CD4" i="5"/>
  <c r="CE4" i="5"/>
  <c r="CF4" i="5"/>
  <c r="CG4" i="5"/>
  <c r="CH4" i="5"/>
  <c r="CI4" i="5"/>
  <c r="CJ4" i="5"/>
  <c r="CK4" i="5"/>
  <c r="CL4" i="5"/>
  <c r="CM4" i="5"/>
  <c r="CN4" i="5"/>
  <c r="CO4" i="5"/>
  <c r="CP4" i="5"/>
  <c r="CQ4" i="5"/>
  <c r="CR4" i="5"/>
  <c r="CS4" i="5"/>
  <c r="CT4" i="5"/>
  <c r="CU4" i="5"/>
  <c r="CV4" i="5"/>
  <c r="CW4" i="5"/>
  <c r="CX4" i="5"/>
  <c r="CY4" i="5"/>
  <c r="CZ4" i="5"/>
  <c r="DA4" i="5"/>
  <c r="DB4" i="5"/>
  <c r="DC4" i="5"/>
  <c r="DD4" i="5"/>
  <c r="DE4" i="5"/>
  <c r="DF4" i="5"/>
  <c r="DG4" i="5"/>
  <c r="DH4" i="5"/>
  <c r="DI4" i="5"/>
  <c r="DJ4" i="5"/>
  <c r="DK4" i="5"/>
  <c r="DL4" i="5"/>
  <c r="DM4" i="5"/>
  <c r="DN4" i="5"/>
  <c r="DO4" i="5"/>
  <c r="DP4" i="5"/>
  <c r="DQ4" i="5"/>
  <c r="DR4" i="5"/>
  <c r="DS4" i="5"/>
  <c r="DT4" i="5"/>
  <c r="DU4" i="5"/>
  <c r="DV4" i="5"/>
  <c r="DW4" i="5"/>
  <c r="DX4" i="5"/>
  <c r="DY4" i="5"/>
  <c r="DZ4" i="5"/>
  <c r="EA4" i="5"/>
  <c r="EB4" i="5"/>
  <c r="EC4" i="5"/>
  <c r="ED4" i="5"/>
  <c r="EE4" i="5"/>
  <c r="EF4" i="5"/>
  <c r="EG4" i="5"/>
  <c r="EH4" i="5"/>
  <c r="EI4" i="5"/>
  <c r="EJ4" i="5"/>
  <c r="EK4" i="5"/>
  <c r="EL4" i="5"/>
  <c r="EM4" i="5"/>
  <c r="EN4" i="5"/>
  <c r="EO4" i="5"/>
  <c r="EP4" i="5"/>
  <c r="EQ4" i="5"/>
  <c r="ER4" i="5"/>
  <c r="ES4" i="5"/>
  <c r="ET4" i="5"/>
  <c r="EU4" i="5"/>
  <c r="EV4" i="5"/>
  <c r="EW4" i="5"/>
  <c r="EX4" i="5"/>
  <c r="EY4" i="5"/>
  <c r="EZ4" i="5"/>
  <c r="FA4" i="5"/>
  <c r="FB4" i="5"/>
  <c r="FC4" i="5"/>
  <c r="FD4" i="5"/>
  <c r="FE4" i="5"/>
  <c r="FF4" i="5"/>
  <c r="FG4" i="5"/>
  <c r="FH4" i="5"/>
  <c r="FI4" i="5"/>
  <c r="FJ4" i="5"/>
  <c r="FK4" i="5"/>
  <c r="FL4" i="5"/>
  <c r="FM4" i="5"/>
  <c r="FN4" i="5"/>
  <c r="FO4" i="5"/>
  <c r="FP4" i="5"/>
  <c r="FQ4" i="5"/>
  <c r="FR4" i="5"/>
  <c r="FS4" i="5"/>
  <c r="FT4" i="5"/>
  <c r="FU4" i="5"/>
  <c r="FV4" i="5"/>
  <c r="FW4" i="5"/>
  <c r="FX4" i="5"/>
  <c r="FY4" i="5"/>
  <c r="FZ4" i="5"/>
  <c r="GA4" i="5"/>
  <c r="GB4" i="5"/>
  <c r="GC4" i="5"/>
  <c r="GD4" i="5"/>
  <c r="GE4" i="5"/>
  <c r="GF4" i="5"/>
  <c r="GG4" i="5"/>
  <c r="GH4" i="5"/>
  <c r="GI4" i="5"/>
  <c r="GJ4" i="5"/>
  <c r="GK4" i="5"/>
  <c r="GL4" i="5"/>
  <c r="GM4" i="5"/>
  <c r="GN4" i="5"/>
  <c r="GO4" i="5"/>
  <c r="GP4" i="5"/>
  <c r="GQ4" i="5"/>
  <c r="GR4" i="5"/>
  <c r="GS4" i="5"/>
  <c r="GT4" i="5"/>
  <c r="GU4" i="5"/>
  <c r="GV4" i="5"/>
  <c r="GW4" i="5"/>
  <c r="GX4" i="5"/>
  <c r="GY4" i="5"/>
  <c r="GZ4" i="5"/>
  <c r="HA4" i="5"/>
  <c r="HB4" i="5"/>
  <c r="HC4" i="5"/>
  <c r="HD4" i="5"/>
  <c r="HE4" i="5"/>
  <c r="HF4" i="5"/>
  <c r="HG4" i="5"/>
  <c r="HH4" i="5"/>
  <c r="HI4" i="5"/>
  <c r="HJ4" i="5"/>
  <c r="HK4" i="5"/>
  <c r="HL4" i="5"/>
  <c r="HM4" i="5"/>
  <c r="HN4" i="5"/>
  <c r="HO4" i="5"/>
  <c r="HP4" i="5"/>
  <c r="HQ4" i="5"/>
  <c r="HR4" i="5"/>
  <c r="HS4" i="5"/>
  <c r="HT4" i="5"/>
  <c r="HU4" i="5"/>
  <c r="HV4" i="5"/>
  <c r="HW4" i="5"/>
  <c r="HX4" i="5"/>
  <c r="HY4" i="5"/>
  <c r="HZ4" i="5"/>
  <c r="IA4" i="5"/>
  <c r="IB4" i="5"/>
  <c r="IC4" i="5"/>
  <c r="ID4" i="5"/>
  <c r="IE4" i="5"/>
  <c r="IF4" i="5"/>
  <c r="IG4" i="5"/>
  <c r="IH4" i="5"/>
  <c r="II4" i="5"/>
  <c r="IJ4" i="5"/>
  <c r="IK4" i="5"/>
  <c r="IL4" i="5"/>
  <c r="IM4" i="5"/>
  <c r="IN4" i="5"/>
  <c r="IO4" i="5"/>
  <c r="IP4" i="5"/>
  <c r="IQ4" i="5"/>
  <c r="IR4" i="5"/>
  <c r="IS4" i="5"/>
  <c r="IT4" i="5"/>
  <c r="IU4" i="5"/>
  <c r="IV4" i="5"/>
  <c r="A3" i="5"/>
  <c r="B3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AJ3" i="5"/>
  <c r="AK3" i="5"/>
  <c r="AL3" i="5"/>
  <c r="AM3" i="5"/>
  <c r="AN3" i="5"/>
  <c r="AO3" i="5"/>
  <c r="AP3" i="5"/>
  <c r="AQ3" i="5"/>
  <c r="AR3" i="5"/>
  <c r="AS3" i="5"/>
  <c r="AT3" i="5"/>
  <c r="AU3" i="5"/>
  <c r="AV3" i="5"/>
  <c r="AW3" i="5"/>
  <c r="AX3" i="5"/>
  <c r="AY3" i="5"/>
  <c r="AZ3" i="5"/>
  <c r="BA3" i="5"/>
  <c r="BB3" i="5"/>
  <c r="BC3" i="5"/>
  <c r="BD3" i="5"/>
  <c r="BE3" i="5"/>
  <c r="BF3" i="5"/>
  <c r="BG3" i="5"/>
  <c r="BH3" i="5"/>
  <c r="BI3" i="5"/>
  <c r="BJ3" i="5"/>
  <c r="BK3" i="5"/>
  <c r="BL3" i="5"/>
  <c r="BM3" i="5"/>
  <c r="BN3" i="5"/>
  <c r="BO3" i="5"/>
  <c r="BP3" i="5"/>
  <c r="BQ3" i="5"/>
  <c r="BR3" i="5"/>
  <c r="BS3" i="5"/>
  <c r="BT3" i="5"/>
  <c r="BU3" i="5"/>
  <c r="BV3" i="5"/>
  <c r="BW3" i="5"/>
  <c r="BX3" i="5"/>
  <c r="BY3" i="5"/>
  <c r="BZ3" i="5"/>
  <c r="CA3" i="5"/>
  <c r="CB3" i="5"/>
  <c r="CC3" i="5"/>
  <c r="CD3" i="5"/>
  <c r="CE3" i="5"/>
  <c r="CF3" i="5"/>
  <c r="CG3" i="5"/>
  <c r="CH3" i="5"/>
  <c r="CI3" i="5"/>
  <c r="CJ3" i="5"/>
  <c r="CK3" i="5"/>
  <c r="CL3" i="5"/>
  <c r="CM3" i="5"/>
  <c r="CN3" i="5"/>
  <c r="CO3" i="5"/>
  <c r="CP3" i="5"/>
  <c r="CQ3" i="5"/>
  <c r="CR3" i="5"/>
  <c r="CS3" i="5"/>
  <c r="CT3" i="5"/>
  <c r="CU3" i="5"/>
  <c r="CV3" i="5"/>
  <c r="CW3" i="5"/>
  <c r="CX3" i="5"/>
  <c r="CY3" i="5"/>
  <c r="CZ3" i="5"/>
  <c r="DA3" i="5"/>
  <c r="DB3" i="5"/>
  <c r="DC3" i="5"/>
  <c r="DD3" i="5"/>
  <c r="DE3" i="5"/>
  <c r="DF3" i="5"/>
  <c r="DG3" i="5"/>
  <c r="DH3" i="5"/>
  <c r="DI3" i="5"/>
  <c r="DJ3" i="5"/>
  <c r="DK3" i="5"/>
  <c r="DL3" i="5"/>
  <c r="DM3" i="5"/>
  <c r="DN3" i="5"/>
  <c r="DO3" i="5"/>
  <c r="DP3" i="5"/>
  <c r="DQ3" i="5"/>
  <c r="DR3" i="5"/>
  <c r="DS3" i="5"/>
  <c r="DT3" i="5"/>
  <c r="DU3" i="5"/>
  <c r="DV3" i="5"/>
  <c r="DW3" i="5"/>
  <c r="DX3" i="5"/>
  <c r="DY3" i="5"/>
  <c r="DZ3" i="5"/>
  <c r="EA3" i="5"/>
  <c r="EB3" i="5"/>
  <c r="EC3" i="5"/>
  <c r="ED3" i="5"/>
  <c r="EE3" i="5"/>
  <c r="EF3" i="5"/>
  <c r="EG3" i="5"/>
  <c r="EH3" i="5"/>
  <c r="EI3" i="5"/>
  <c r="EJ3" i="5"/>
  <c r="EK3" i="5"/>
  <c r="EL3" i="5"/>
  <c r="EM3" i="5"/>
  <c r="EN3" i="5"/>
  <c r="EO3" i="5"/>
  <c r="EP3" i="5"/>
  <c r="EQ3" i="5"/>
  <c r="ER3" i="5"/>
  <c r="ES3" i="5"/>
  <c r="ET3" i="5"/>
  <c r="EU3" i="5"/>
  <c r="EV3" i="5"/>
  <c r="EW3" i="5"/>
  <c r="EX3" i="5"/>
  <c r="EY3" i="5"/>
  <c r="EZ3" i="5"/>
  <c r="FA3" i="5"/>
  <c r="FB3" i="5"/>
  <c r="FC3" i="5"/>
  <c r="FD3" i="5"/>
  <c r="FE3" i="5"/>
  <c r="FF3" i="5"/>
  <c r="FG3" i="5"/>
  <c r="FH3" i="5"/>
  <c r="FI3" i="5"/>
  <c r="FJ3" i="5"/>
  <c r="FK3" i="5"/>
  <c r="FL3" i="5"/>
  <c r="FM3" i="5"/>
  <c r="FN3" i="5"/>
  <c r="FO3" i="5"/>
  <c r="FP3" i="5"/>
  <c r="FQ3" i="5"/>
  <c r="FR3" i="5"/>
  <c r="FS3" i="5"/>
  <c r="FT3" i="5"/>
  <c r="FU3" i="5"/>
  <c r="FV3" i="5"/>
  <c r="FW3" i="5"/>
  <c r="FX3" i="5"/>
  <c r="FY3" i="5"/>
  <c r="FZ3" i="5"/>
  <c r="GA3" i="5"/>
  <c r="GB3" i="5"/>
  <c r="GC3" i="5"/>
  <c r="GD3" i="5"/>
  <c r="GE3" i="5"/>
  <c r="GF3" i="5"/>
  <c r="GG3" i="5"/>
  <c r="GH3" i="5"/>
  <c r="GI3" i="5"/>
  <c r="GJ3" i="5"/>
  <c r="GK3" i="5"/>
  <c r="GL3" i="5"/>
  <c r="GM3" i="5"/>
  <c r="GN3" i="5"/>
  <c r="GO3" i="5"/>
  <c r="GP3" i="5"/>
  <c r="GQ3" i="5"/>
  <c r="GR3" i="5"/>
  <c r="GS3" i="5"/>
  <c r="GT3" i="5"/>
  <c r="GU3" i="5"/>
  <c r="GV3" i="5"/>
  <c r="GW3" i="5"/>
  <c r="GX3" i="5"/>
  <c r="GY3" i="5"/>
  <c r="GZ3" i="5"/>
  <c r="HA3" i="5"/>
  <c r="HB3" i="5"/>
  <c r="HC3" i="5"/>
  <c r="HD3" i="5"/>
  <c r="HE3" i="5"/>
  <c r="HF3" i="5"/>
  <c r="HG3" i="5"/>
  <c r="HH3" i="5"/>
  <c r="HI3" i="5"/>
  <c r="HJ3" i="5"/>
  <c r="HK3" i="5"/>
  <c r="HL3" i="5"/>
  <c r="HM3" i="5"/>
  <c r="HN3" i="5"/>
  <c r="HO3" i="5"/>
  <c r="HP3" i="5"/>
  <c r="HQ3" i="5"/>
  <c r="HR3" i="5"/>
  <c r="HS3" i="5"/>
  <c r="HT3" i="5"/>
  <c r="HU3" i="5"/>
  <c r="HV3" i="5"/>
  <c r="HW3" i="5"/>
  <c r="HX3" i="5"/>
  <c r="HY3" i="5"/>
  <c r="HZ3" i="5"/>
  <c r="IA3" i="5"/>
  <c r="IB3" i="5"/>
  <c r="IC3" i="5"/>
  <c r="ID3" i="5"/>
  <c r="IE3" i="5"/>
  <c r="IF3" i="5"/>
  <c r="IG3" i="5"/>
  <c r="IH3" i="5"/>
  <c r="II3" i="5"/>
  <c r="IJ3" i="5"/>
  <c r="IK3" i="5"/>
  <c r="IL3" i="5"/>
  <c r="IM3" i="5"/>
  <c r="IN3" i="5"/>
  <c r="IO3" i="5"/>
  <c r="IP3" i="5"/>
  <c r="IQ3" i="5"/>
  <c r="IR3" i="5"/>
  <c r="IS3" i="5"/>
  <c r="IT3" i="5"/>
  <c r="IU3" i="5"/>
  <c r="IV3" i="5"/>
  <c r="A2" i="5"/>
  <c r="B2" i="5"/>
  <c r="C2" i="5"/>
  <c r="D2" i="5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K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AZ2" i="5"/>
  <c r="BA2" i="5"/>
  <c r="BB2" i="5"/>
  <c r="BC2" i="5"/>
  <c r="BD2" i="5"/>
  <c r="BE2" i="5"/>
  <c r="BF2" i="5"/>
  <c r="BG2" i="5"/>
  <c r="BH2" i="5"/>
  <c r="BI2" i="5"/>
  <c r="BJ2" i="5"/>
  <c r="BK2" i="5"/>
  <c r="BL2" i="5"/>
  <c r="BM2" i="5"/>
  <c r="BN2" i="5"/>
  <c r="BO2" i="5"/>
  <c r="BP2" i="5"/>
  <c r="BQ2" i="5"/>
  <c r="BR2" i="5"/>
  <c r="BS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DL2" i="5"/>
  <c r="DM2" i="5"/>
  <c r="DN2" i="5"/>
  <c r="DO2" i="5"/>
  <c r="DP2" i="5"/>
  <c r="DQ2" i="5"/>
  <c r="DR2" i="5"/>
  <c r="DS2" i="5"/>
  <c r="DT2" i="5"/>
  <c r="DU2" i="5"/>
  <c r="DV2" i="5"/>
  <c r="DW2" i="5"/>
  <c r="DX2" i="5"/>
  <c r="DY2" i="5"/>
  <c r="DZ2" i="5"/>
  <c r="EA2" i="5"/>
  <c r="EB2" i="5"/>
  <c r="EC2" i="5"/>
  <c r="ED2" i="5"/>
  <c r="EE2" i="5"/>
  <c r="EF2" i="5"/>
  <c r="EG2" i="5"/>
  <c r="EH2" i="5"/>
  <c r="EI2" i="5"/>
  <c r="EJ2" i="5"/>
  <c r="EK2" i="5"/>
  <c r="EL2" i="5"/>
  <c r="EM2" i="5"/>
  <c r="EN2" i="5"/>
  <c r="EO2" i="5"/>
  <c r="EP2" i="5"/>
  <c r="EQ2" i="5"/>
  <c r="ER2" i="5"/>
  <c r="ES2" i="5"/>
  <c r="ET2" i="5"/>
  <c r="EU2" i="5"/>
  <c r="EV2" i="5"/>
  <c r="EW2" i="5"/>
  <c r="EX2" i="5"/>
  <c r="EY2" i="5"/>
  <c r="EZ2" i="5"/>
  <c r="FA2" i="5"/>
  <c r="FB2" i="5"/>
  <c r="FC2" i="5"/>
  <c r="FD2" i="5"/>
  <c r="FE2" i="5"/>
  <c r="FF2" i="5"/>
  <c r="FG2" i="5"/>
  <c r="FH2" i="5"/>
  <c r="FI2" i="5"/>
  <c r="FJ2" i="5"/>
  <c r="FK2" i="5"/>
  <c r="FL2" i="5"/>
  <c r="FM2" i="5"/>
  <c r="FN2" i="5"/>
  <c r="FO2" i="5"/>
  <c r="FP2" i="5"/>
  <c r="FQ2" i="5"/>
  <c r="FR2" i="5"/>
  <c r="FS2" i="5"/>
  <c r="FT2" i="5"/>
  <c r="FU2" i="5"/>
  <c r="FV2" i="5"/>
  <c r="FW2" i="5"/>
  <c r="FX2" i="5"/>
  <c r="FY2" i="5"/>
  <c r="FZ2" i="5"/>
  <c r="GA2" i="5"/>
  <c r="GB2" i="5"/>
  <c r="GC2" i="5"/>
  <c r="GD2" i="5"/>
  <c r="GE2" i="5"/>
  <c r="GF2" i="5"/>
  <c r="GG2" i="5"/>
  <c r="GH2" i="5"/>
  <c r="GI2" i="5"/>
  <c r="GJ2" i="5"/>
  <c r="GK2" i="5"/>
  <c r="GL2" i="5"/>
  <c r="GM2" i="5"/>
  <c r="GN2" i="5"/>
  <c r="GO2" i="5"/>
  <c r="GP2" i="5"/>
  <c r="GQ2" i="5"/>
  <c r="GR2" i="5"/>
  <c r="GS2" i="5"/>
  <c r="GT2" i="5"/>
  <c r="GU2" i="5"/>
  <c r="GV2" i="5"/>
  <c r="GW2" i="5"/>
  <c r="GX2" i="5"/>
  <c r="GY2" i="5"/>
  <c r="GZ2" i="5"/>
  <c r="HA2" i="5"/>
  <c r="HB2" i="5"/>
  <c r="HC2" i="5"/>
  <c r="HD2" i="5"/>
  <c r="HE2" i="5"/>
  <c r="HF2" i="5"/>
  <c r="HG2" i="5"/>
  <c r="HH2" i="5"/>
  <c r="HI2" i="5"/>
  <c r="HJ2" i="5"/>
  <c r="HK2" i="5"/>
  <c r="HL2" i="5"/>
  <c r="HM2" i="5"/>
  <c r="HN2" i="5"/>
  <c r="HO2" i="5"/>
  <c r="HP2" i="5"/>
  <c r="HQ2" i="5"/>
  <c r="HR2" i="5"/>
  <c r="HS2" i="5"/>
  <c r="HT2" i="5"/>
  <c r="HU2" i="5"/>
  <c r="HV2" i="5"/>
  <c r="HW2" i="5"/>
  <c r="HX2" i="5"/>
  <c r="HY2" i="5"/>
  <c r="HZ2" i="5"/>
  <c r="IA2" i="5"/>
  <c r="IB2" i="5"/>
  <c r="IC2" i="5"/>
  <c r="ID2" i="5"/>
  <c r="IE2" i="5"/>
  <c r="IF2" i="5"/>
  <c r="IG2" i="5"/>
  <c r="IH2" i="5"/>
  <c r="II2" i="5"/>
  <c r="IJ2" i="5"/>
  <c r="IK2" i="5"/>
  <c r="IL2" i="5"/>
  <c r="IM2" i="5"/>
  <c r="IN2" i="5"/>
  <c r="IO2" i="5"/>
  <c r="IP2" i="5"/>
  <c r="IQ2" i="5"/>
  <c r="IR2" i="5"/>
  <c r="IS2" i="5"/>
  <c r="IT2" i="5"/>
  <c r="IU2" i="5"/>
  <c r="IV2" i="5"/>
  <c r="A1" i="5"/>
  <c r="B1" i="5"/>
  <c r="C1" i="5"/>
  <c r="D1" i="5"/>
  <c r="E1" i="5"/>
  <c r="F1" i="5"/>
  <c r="G1" i="5"/>
  <c r="H1" i="5"/>
  <c r="I1" i="5"/>
  <c r="J1" i="5"/>
  <c r="K1" i="5"/>
  <c r="L1" i="5"/>
  <c r="M1" i="5"/>
  <c r="N1" i="5"/>
  <c r="O1" i="5"/>
  <c r="P1" i="5"/>
  <c r="Q1" i="5"/>
  <c r="R1" i="5"/>
  <c r="S1" i="5"/>
  <c r="T1" i="5"/>
  <c r="U1" i="5"/>
  <c r="V1" i="5"/>
  <c r="W1" i="5"/>
  <c r="X1" i="5"/>
  <c r="Y1" i="5"/>
  <c r="Z1" i="5"/>
  <c r="AA1" i="5"/>
  <c r="AB1" i="5"/>
  <c r="AC1" i="5"/>
  <c r="AD1" i="5"/>
  <c r="AE1" i="5"/>
  <c r="AF1" i="5"/>
  <c r="AG1" i="5"/>
  <c r="AH1" i="5"/>
  <c r="AI1" i="5"/>
  <c r="AJ1" i="5"/>
  <c r="AK1" i="5"/>
  <c r="AL1" i="5"/>
  <c r="AM1" i="5"/>
  <c r="AN1" i="5"/>
  <c r="AO1" i="5"/>
  <c r="AP1" i="5"/>
  <c r="AQ1" i="5"/>
  <c r="AR1" i="5"/>
  <c r="AS1" i="5"/>
  <c r="AT1" i="5"/>
  <c r="AU1" i="5"/>
  <c r="AV1" i="5"/>
  <c r="AW1" i="5"/>
  <c r="AX1" i="5"/>
  <c r="AY1" i="5"/>
  <c r="AZ1" i="5"/>
  <c r="BA1" i="5"/>
  <c r="BB1" i="5"/>
  <c r="BC1" i="5"/>
  <c r="BD1" i="5"/>
  <c r="BE1" i="5"/>
  <c r="BF1" i="5"/>
  <c r="BG1" i="5"/>
  <c r="BH1" i="5"/>
  <c r="BI1" i="5"/>
  <c r="BJ1" i="5"/>
  <c r="BK1" i="5"/>
  <c r="BL1" i="5"/>
  <c r="BM1" i="5"/>
  <c r="BN1" i="5"/>
  <c r="BO1" i="5"/>
  <c r="BP1" i="5"/>
  <c r="BQ1" i="5"/>
  <c r="BR1" i="5"/>
  <c r="BS1" i="5"/>
  <c r="BT1" i="5"/>
  <c r="BU1" i="5"/>
  <c r="BV1" i="5"/>
  <c r="BW1" i="5"/>
  <c r="BX1" i="5"/>
  <c r="BY1" i="5"/>
  <c r="BZ1" i="5"/>
  <c r="CA1" i="5"/>
  <c r="CB1" i="5"/>
  <c r="CC1" i="5"/>
  <c r="CD1" i="5"/>
  <c r="CE1" i="5"/>
  <c r="CF1" i="5"/>
  <c r="CG1" i="5"/>
  <c r="CH1" i="5"/>
  <c r="CI1" i="5"/>
  <c r="CJ1" i="5"/>
  <c r="CK1" i="5"/>
  <c r="CL1" i="5"/>
  <c r="CM1" i="5"/>
  <c r="CN1" i="5"/>
  <c r="CO1" i="5"/>
  <c r="CP1" i="5"/>
  <c r="CQ1" i="5"/>
  <c r="CR1" i="5"/>
  <c r="CS1" i="5"/>
  <c r="CT1" i="5"/>
  <c r="CU1" i="5"/>
  <c r="CV1" i="5"/>
  <c r="CW1" i="5"/>
  <c r="CX1" i="5"/>
  <c r="CY1" i="5"/>
  <c r="CZ1" i="5"/>
  <c r="DA1" i="5"/>
  <c r="DB1" i="5"/>
  <c r="DC1" i="5"/>
  <c r="DD1" i="5"/>
  <c r="DE1" i="5"/>
  <c r="DF1" i="5"/>
  <c r="DG1" i="5"/>
  <c r="DH1" i="5"/>
  <c r="DI1" i="5"/>
  <c r="DJ1" i="5"/>
  <c r="DK1" i="5"/>
  <c r="DL1" i="5"/>
  <c r="DM1" i="5"/>
  <c r="DN1" i="5"/>
  <c r="DO1" i="5"/>
  <c r="DP1" i="5"/>
  <c r="DQ1" i="5"/>
  <c r="DR1" i="5"/>
  <c r="DS1" i="5"/>
  <c r="DT1" i="5"/>
  <c r="DU1" i="5"/>
  <c r="DV1" i="5"/>
  <c r="DW1" i="5"/>
  <c r="DX1" i="5"/>
  <c r="DY1" i="5"/>
  <c r="DZ1" i="5"/>
  <c r="EA1" i="5"/>
  <c r="EB1" i="5"/>
  <c r="EC1" i="5"/>
  <c r="ED1" i="5"/>
  <c r="EE1" i="5"/>
  <c r="EF1" i="5"/>
  <c r="EG1" i="5"/>
  <c r="EH1" i="5"/>
  <c r="EI1" i="5"/>
  <c r="EJ1" i="5"/>
  <c r="EK1" i="5"/>
  <c r="EL1" i="5"/>
  <c r="EM1" i="5"/>
  <c r="EN1" i="5"/>
  <c r="EO1" i="5"/>
  <c r="EP1" i="5"/>
  <c r="EQ1" i="5"/>
  <c r="ER1" i="5"/>
  <c r="ES1" i="5"/>
  <c r="ET1" i="5"/>
  <c r="EU1" i="5"/>
  <c r="EV1" i="5"/>
  <c r="EW1" i="5"/>
  <c r="EX1" i="5"/>
  <c r="EY1" i="5"/>
  <c r="EZ1" i="5"/>
  <c r="FA1" i="5"/>
  <c r="FB1" i="5"/>
  <c r="FC1" i="5"/>
  <c r="FD1" i="5"/>
  <c r="FE1" i="5"/>
  <c r="FF1" i="5"/>
  <c r="FG1" i="5"/>
  <c r="FH1" i="5"/>
  <c r="FI1" i="5"/>
  <c r="FJ1" i="5"/>
  <c r="FK1" i="5"/>
  <c r="FL1" i="5"/>
  <c r="FM1" i="5"/>
  <c r="FN1" i="5"/>
  <c r="FO1" i="5"/>
  <c r="FP1" i="5"/>
  <c r="FQ1" i="5"/>
  <c r="FR1" i="5"/>
  <c r="FS1" i="5"/>
  <c r="FT1" i="5"/>
  <c r="FU1" i="5"/>
  <c r="FV1" i="5"/>
  <c r="FW1" i="5"/>
  <c r="FX1" i="5"/>
  <c r="FY1" i="5"/>
  <c r="FZ1" i="5"/>
  <c r="GA1" i="5"/>
  <c r="GB1" i="5"/>
  <c r="GC1" i="5"/>
  <c r="GD1" i="5"/>
  <c r="GE1" i="5"/>
  <c r="GF1" i="5"/>
  <c r="GG1" i="5"/>
  <c r="GH1" i="5"/>
  <c r="GI1" i="5"/>
  <c r="GJ1" i="5"/>
  <c r="GK1" i="5"/>
  <c r="GL1" i="5"/>
  <c r="GM1" i="5"/>
  <c r="GN1" i="5"/>
  <c r="GO1" i="5"/>
  <c r="GP1" i="5"/>
  <c r="GQ1" i="5"/>
  <c r="GR1" i="5"/>
  <c r="GS1" i="5"/>
  <c r="GT1" i="5"/>
  <c r="GU1" i="5"/>
  <c r="GV1" i="5"/>
  <c r="GW1" i="5"/>
  <c r="GX1" i="5"/>
  <c r="GY1" i="5"/>
  <c r="GZ1" i="5"/>
  <c r="HA1" i="5"/>
  <c r="HB1" i="5"/>
  <c r="HC1" i="5"/>
  <c r="HD1" i="5"/>
  <c r="HE1" i="5"/>
  <c r="HF1" i="5"/>
  <c r="HG1" i="5"/>
  <c r="HH1" i="5"/>
  <c r="HI1" i="5"/>
  <c r="HJ1" i="5"/>
  <c r="HK1" i="5"/>
  <c r="HL1" i="5"/>
  <c r="HM1" i="5"/>
  <c r="HN1" i="5"/>
  <c r="HO1" i="5"/>
  <c r="HP1" i="5"/>
  <c r="HQ1" i="5"/>
  <c r="HR1" i="5"/>
  <c r="HS1" i="5"/>
  <c r="HT1" i="5"/>
  <c r="HU1" i="5"/>
  <c r="HV1" i="5"/>
  <c r="HW1" i="5"/>
  <c r="HX1" i="5"/>
  <c r="HY1" i="5"/>
  <c r="HZ1" i="5"/>
  <c r="IA1" i="5"/>
  <c r="IB1" i="5"/>
  <c r="IC1" i="5"/>
  <c r="ID1" i="5"/>
  <c r="IE1" i="5"/>
  <c r="IF1" i="5"/>
  <c r="IG1" i="5"/>
  <c r="IH1" i="5"/>
  <c r="II1" i="5"/>
  <c r="IJ1" i="5"/>
  <c r="IK1" i="5"/>
  <c r="IL1" i="5"/>
  <c r="IM1" i="5"/>
  <c r="IN1" i="5"/>
  <c r="IO1" i="5"/>
  <c r="IP1" i="5"/>
  <c r="IQ1" i="5"/>
  <c r="IR1" i="5"/>
  <c r="IS1" i="5"/>
  <c r="IT1" i="5"/>
  <c r="IU1" i="5"/>
  <c r="IV1" i="5"/>
  <c r="C25" i="4"/>
  <c r="D25" i="4"/>
  <c r="E25" i="4"/>
  <c r="F25" i="4"/>
  <c r="G25" i="4"/>
  <c r="C26" i="4"/>
  <c r="D26" i="4"/>
  <c r="E26" i="4"/>
  <c r="F26" i="4"/>
  <c r="G26" i="4"/>
  <c r="B26" i="4"/>
  <c r="B25" i="4"/>
  <c r="C23" i="4"/>
  <c r="D23" i="4"/>
  <c r="E23" i="4"/>
  <c r="F23" i="4"/>
  <c r="G23" i="4"/>
  <c r="B23" i="4"/>
  <c r="I21" i="4"/>
  <c r="I19" i="4"/>
  <c r="I17" i="4"/>
  <c r="I15" i="4"/>
  <c r="I13" i="4"/>
  <c r="I11" i="4"/>
  <c r="I9" i="4"/>
  <c r="I7" i="4"/>
  <c r="I5" i="4"/>
  <c r="I3" i="4"/>
  <c r="G21" i="4"/>
  <c r="E21" i="4"/>
  <c r="D21" i="4"/>
  <c r="C21" i="4"/>
  <c r="B21" i="4"/>
  <c r="G19" i="4"/>
  <c r="F19" i="4"/>
  <c r="E19" i="4"/>
  <c r="D19" i="4"/>
  <c r="C19" i="4"/>
  <c r="B19" i="4"/>
  <c r="G17" i="4"/>
  <c r="F17" i="4"/>
  <c r="E17" i="4"/>
  <c r="D17" i="4"/>
  <c r="C17" i="4"/>
  <c r="B17" i="4"/>
  <c r="G15" i="4"/>
  <c r="F15" i="4"/>
  <c r="D15" i="4"/>
  <c r="C15" i="4"/>
  <c r="B15" i="4"/>
  <c r="G13" i="4"/>
  <c r="E13" i="4"/>
  <c r="D13" i="4"/>
  <c r="C13" i="4"/>
  <c r="B13" i="4"/>
  <c r="G11" i="4"/>
  <c r="F11" i="4"/>
  <c r="E11" i="4"/>
  <c r="D11" i="4"/>
  <c r="C11" i="4"/>
  <c r="B11" i="4"/>
  <c r="G9" i="4"/>
  <c r="E9" i="4"/>
  <c r="D9" i="4"/>
  <c r="C9" i="4"/>
  <c r="B9" i="4"/>
  <c r="G7" i="4"/>
  <c r="F7" i="4"/>
  <c r="E7" i="4"/>
  <c r="D7" i="4"/>
  <c r="C7" i="4"/>
  <c r="B7" i="4"/>
  <c r="G5" i="4"/>
  <c r="F5" i="4"/>
  <c r="E5" i="4"/>
  <c r="D5" i="4"/>
  <c r="B5" i="4"/>
  <c r="G3" i="4"/>
  <c r="C3" i="4"/>
  <c r="D3" i="4"/>
  <c r="E3" i="4"/>
  <c r="F3" i="4"/>
  <c r="B3" i="4"/>
  <c r="I21" i="1"/>
  <c r="I19" i="1"/>
  <c r="I17" i="1"/>
  <c r="I15" i="1"/>
  <c r="I13" i="1"/>
  <c r="I11" i="1"/>
  <c r="I9" i="1"/>
  <c r="I7" i="1"/>
  <c r="I5" i="1"/>
  <c r="I3" i="1"/>
</calcChain>
</file>

<file path=xl/comments1.xml><?xml version="1.0" encoding="utf-8"?>
<comments xmlns="http://schemas.openxmlformats.org/spreadsheetml/2006/main">
  <authors>
    <author>Carlton</author>
  </authors>
  <commentList>
    <comment ref="E11" authorId="0">
      <text>
        <r>
          <rPr>
            <sz val="9"/>
            <color indexed="81"/>
            <rFont val="Tahoma"/>
            <family val="2"/>
          </rPr>
          <t>Very close substitute used: 367643 (no marking area).  Price of both products very similar on Fisher.  Price of both the same on VWR.</t>
        </r>
      </text>
    </comment>
    <comment ref="F11" authorId="0">
      <text>
        <r>
          <rPr>
            <sz val="9"/>
            <color indexed="81"/>
            <rFont val="Tahoma"/>
            <family val="2"/>
          </rPr>
          <t>Does not sell in case of 1200, only in packs of 50.  Bulk 10% discount price used (&gt; 6 bags, &lt; 30 bags).</t>
        </r>
      </text>
    </comment>
    <comment ref="C19" authorId="0">
      <text>
        <r>
          <rPr>
            <sz val="9"/>
            <color indexed="81"/>
            <rFont val="Tahoma"/>
            <family val="2"/>
          </rPr>
          <t>Doesn't have in catalog. Sources from Chemglass.</t>
        </r>
      </text>
    </comment>
  </commentList>
</comments>
</file>

<file path=xl/sharedStrings.xml><?xml version="1.0" encoding="utf-8"?>
<sst xmlns="http://schemas.openxmlformats.org/spreadsheetml/2006/main" count="189" uniqueCount="81">
  <si>
    <t>Product</t>
  </si>
  <si>
    <t>Amazon Supply</t>
  </si>
  <si>
    <t>Fisher</t>
  </si>
  <si>
    <t>VWR</t>
  </si>
  <si>
    <t>Daigger</t>
  </si>
  <si>
    <t>Thomas Scientific</t>
  </si>
  <si>
    <t>Cole-Parmer</t>
  </si>
  <si>
    <t>Eppendorf 5424 Microcentrifuge, keypad version, w/ rotor</t>
  </si>
  <si>
    <t>http://www.amazonsupply.com/eppendorf-microcentrifuge-control-24-place-aerosol-tight/dp/B005GRFFSO/ref=sr_1_2?sr=1-2&amp;qid=1349274427</t>
  </si>
  <si>
    <t>http://www.fishersci.com/ecomm/servlet/itemdetail?catalogId=29104&amp;productId=12979308&amp;storeId=10652&amp;langId=-1&amp;distype=0&amp;accessories=false&amp;isChemical=&amp;fromSearch=1&amp;highlightProductsItemsFlag=Y</t>
  </si>
  <si>
    <t>https://us.vwr.com/store/catalog/product.jsp?catalog_number=97058-912</t>
  </si>
  <si>
    <t>http://www.daigger.com/Administration/DaiggerStore/tabid/86/CategoryID/18692/Default.aspx?section=0</t>
  </si>
  <si>
    <t>http://www.coleparmer.com/Product/Eppendorf_5424_Microcentrifuge_with_24_tube_rotor_120V/EW-02580-00</t>
  </si>
  <si>
    <t>http://www.thomassci.com/Equipment/Centrifuges/_/Eppendorf-Microcentrifuge-5424?q=eppendorf%20centrifuge</t>
  </si>
  <si>
    <t xml:space="preserve"> </t>
  </si>
  <si>
    <t>Price</t>
  </si>
  <si>
    <t>BRAND Dispensette® Organic Bottle-Top Dispenser w/ SafetyPrime Valve, 1-10 mL, analog</t>
  </si>
  <si>
    <t>http://www.amazonsupply.com/dp/B003UTUPL2/ref=sp_dp_g2c_asin</t>
  </si>
  <si>
    <t>https://us.vwr.com/store/catalog/product.jsp?catalog_number=72888-010</t>
  </si>
  <si>
    <t>http://www.daigger.com/Administration/DaiggerStore/tabid/86/CategoryID/18109/Default.aspx?section=0</t>
  </si>
  <si>
    <t>http://www.coleparmer.com/Product/BrandTech_Dispensette_Organic_Bottletop_Dispenser_Analog_Volume_Setting_1_0_to_10_0_mL/EW-07902-38</t>
  </si>
  <si>
    <t>http://www.thomassci.com/Equipment/Bottletop-Dispensers/_/DISPENSETTEORGANIC?q=brandtech%20dispensette</t>
  </si>
  <si>
    <t>http://www.amazonsupply.com/dp/B004DGICZ2/ref=sp_dp_g2c_asin</t>
  </si>
  <si>
    <t>http://www.fishersci.com/ecomm/servlet/itemdetail?storeId=10652&amp;langId=-1&amp;catalogId=29104&amp;productId=2201397&amp;distype=0&amp;highlightProductsItemsFlag=Y&amp;fromSearch=1</t>
  </si>
  <si>
    <t>https://us.vwr.com/store/catalog/product.jsp?catalog_number=29624-102</t>
  </si>
  <si>
    <t>http://www.daigger.com/Administration/DaiggerStore/tabid/86/CategoryID/14656/Default.aspx?section=0</t>
  </si>
  <si>
    <t>http://www.coleparmer.com/Product/PYREX_Brand_5640_Volumetric_Flask_250_mL_pack_of_6/EW-34505-09</t>
  </si>
  <si>
    <t>http://www.thomassci.com/Supplies/Volumetric-Flasks/_/PYREX-BRAND-CLASS-A-VOLUMETRIC-FLASKS?q=Pyrex%20Class%20A%20Volumetric%20Flasks</t>
  </si>
  <si>
    <t>Corning* Pyrex* Class A Volumetric Flasks with Glass Stopper, 250 mL, pack of 6 (5640-250)</t>
  </si>
  <si>
    <t>http://www.amazonsupply.com/bd-353910-polystyrene-microtest-microliter/dp/B0090SCGE6/ref=sr_1_12?sr=1-12&amp;qid=1349277226</t>
  </si>
  <si>
    <t>http://www.fishersci.com/ecomm/servlet/itemdetail?storeId=10652&amp;langId=-1&amp;catalogId=29104&amp;productId=2085125&amp;distype=0&amp;highlightProductsItemsFlag=Y&amp;fromSearch=1</t>
  </si>
  <si>
    <t>https://us.vwr.com/store/catalog/product.jsp?catalog_number=62406-015</t>
  </si>
  <si>
    <t>http://www.daigger.com/Administration/DaiggerStore/tabid/86/CategoryID/19835/Default.aspx?section=0</t>
  </si>
  <si>
    <t>http://www.thomassci.com/Supplies/Plates/_/FALCON-96-WELL-ASSAY-PLATES?q=falcon%2096%20well%20plate</t>
  </si>
  <si>
    <t>BD Falcon 96 well assay plates, clear, U-botom, nonsterile, no lid, case of 50 (353910)</t>
  </si>
  <si>
    <t>Thermo Scientific Nunc CryoTube Vial, 4.5mL, ext. thread, round bottom, PP tube w/printed area, PE screw cap (337516). Case of 1200</t>
  </si>
  <si>
    <t>http://www.amazonsupply.com/nunc-externally-self-standing-anti-rotation-polypropylene/dp/B008OZTSVU/ref=sr_1_18?sr=1-18&amp;qid=1349278844</t>
  </si>
  <si>
    <t>https://us.vwr.com/store/catalog/product.jsp?catalog_number=66021-984</t>
  </si>
  <si>
    <t>http://www.daigger.com/Administration/DaiggerStore/tabid/86/CategoryID/16201/Default.aspx?section=0</t>
  </si>
  <si>
    <t>http://www.coleparmer.com/Product/CryoTube_cryogenic_tube_with_round_bottom_4_5_mL_50_bag/EW-03755-40</t>
  </si>
  <si>
    <t>http://www.thomassci.com/Supplies/Cryogenic-Vials/_/EXTERNALLY-THREADED-STARFOOT-CRYOTUBE-VIALS?q=nunc%20externally%20threaded</t>
  </si>
  <si>
    <t>IKA KS 130 Basic Orbital Shaker (2980000 / 2980001)</t>
  </si>
  <si>
    <t>http://www.amazonsupply.com/ika-basic-small-orbital-shaker/dp/B0094JUK8A/ref=sr_1_4?sr=1-4&amp;qid=1349279967&amp;filterBy.brandtextbin=Ika</t>
  </si>
  <si>
    <t>http://www.fishersci.com/ecomm/servlet/fsproductdetail?storeId=10652&amp;productId=14879822&amp;catalogId=29104&amp;matchedCatNo=14259260</t>
  </si>
  <si>
    <t>http://www.fishersci.com/ecomm/servlet/fsproductdetail?storeId=10652&amp;productId=757665&amp;catalogId=29104&amp;matchedCatNo=12565297||12565170N||12565162N||1256698||12565298||12565172N||12565173N||12565169N||12565163N||12565299||12565167N||12565291||12565171N||1256697||12565165N||12565168N||12565164N||12565161N||12565166N||12570217||12570216</t>
  </si>
  <si>
    <t>http://www.daigger.com/Administration/DaiggerStore/tabid/86/CategoryID/20025/Default.aspx?section=0</t>
  </si>
  <si>
    <t>Corning® CellBIND® 75cm² Rectangular Canted Neck Cell Culture Flask with Vent Cap (3290), case of 100.</t>
  </si>
  <si>
    <t>http://www.amazonsupply.com/corning-3290-polystyrene-rectangular-cellbind/dp/B005J5BRSA/ref=sr_1_8?sr=1-8&amp;qid=1349282118</t>
  </si>
  <si>
    <t>http://www.fishersci.com/ecomm/servlet/itemdetail?storeId=10652&amp;langId=-1&amp;catalogId=29104&amp;productId=2871348&amp;distype=0&amp;highlightProductsItemsFlag=Y&amp;fromSearch=1</t>
  </si>
  <si>
    <t>https://us.vwr.com/store/catalog/product.jsp?catalog_number=46610-078</t>
  </si>
  <si>
    <t>http://www.coleparmer.com/Product/Corning_cell_culture_flask_CellBind_surface_75_cm2_canted_neck_vent_cap/EW-01835-32</t>
  </si>
  <si>
    <t>http://www.thomassci.com/Supplies/Cell-Culture-Flasks/_/75-cm-Cell-Culture-Flasks?q=corning%20cellbind</t>
  </si>
  <si>
    <t>BrandTech 2704774 Transferpette S Model D-100 Single Channel Adjustable Volume Pipette, 10 - 100 microliter Volume</t>
  </si>
  <si>
    <t>http://www.amazonsupply.com/dp/B003ULPCWM/B007A3NGDS/ref=sr_1_1?reftag=sp_dp_g2c_box&amp;absoluteURL=true&amp;path=%2Fdp</t>
  </si>
  <si>
    <t>http://www.fishersci.com/ecomm/servlet/itemdetail?storeId=10652&amp;langId=-1&amp;catalogId=29104&amp;productId=13082177&amp;distype=0&amp;highlightProductsItemsFlag=Y&amp;fromSearch=1</t>
  </si>
  <si>
    <t>https://us.vwr.com/store/catalog/product.jsp?catalog_number=89042-194</t>
  </si>
  <si>
    <t>http://www.daigger.com/Administration/DaiggerStore/tabid/86/CategoryID/17455/Default.aspx?section=0</t>
  </si>
  <si>
    <t>http://www.coleparmer.com/Product/Pipettor_Adjustable_Volume_10_to_100L/EW-24554-24</t>
  </si>
  <si>
    <t>http://www.thomassci.com/Equipment/Single-Channel-Pipettors/_/BRAND-Transferpette-S-Pipettes?q=brandtech%20transferpette</t>
  </si>
  <si>
    <t>http://www.amazonsupply.com/scientific-industries-si-d238-disruptor-3000rpm/dp/B004TNQ9BI/ref=sr_1_3?sr=1-3&amp;qid=1349283582</t>
  </si>
  <si>
    <t>http://www.fishersci.com/ecomm/servlet/itemdetail?itemdetail='item'&amp;storeId=10652&amp;productId=11363096&amp;catalogId=29104&amp;matchedCatNo=NC9945436&amp;fromSearch=1</t>
  </si>
  <si>
    <t>https://us.vwr.com/store/catalog/product.jsp?catalog_number=89202-320</t>
  </si>
  <si>
    <t>Scientific Industries SI-A236 Digital Vortex-Genie 2 Mixer</t>
  </si>
  <si>
    <t>http://www.daigger.com/Administration/DaiggerStore/tabid/86/CategoryID/14925/Default.aspx?section=0</t>
  </si>
  <si>
    <t>http://www.coleparmer.com/Product/Digital_Vortex_Genie_120V/EW-04724-40</t>
  </si>
  <si>
    <t>http://www.thomassci.com/Equipment/Ambient-Temperature-Shakers/_/Vortex-Genie-1?q=vortex%20genie</t>
  </si>
  <si>
    <t>Heidolph Duomax 1030 Incubating Rocking Platform Shaker, 5 Degree Angle (36130260)</t>
  </si>
  <si>
    <t>http://www.amazonsupply.com/heidolph-duomax-incubating-rocking-platform/dp/B001U5EXCA/ref=sr_1_2?sr=1-2&amp;qid=1349284643&amp;filterBy.brandtextbin=Heidolph</t>
  </si>
  <si>
    <t>http://www.fishersci.com/ecomm/servlet/itemdetail?storeId=10652&amp;langId=-1&amp;catalogId=29104&amp;productId=13966949&amp;distype=0&amp;highlightProductsItemsFlag=Y&amp;fromSearch=1</t>
  </si>
  <si>
    <t>https://us.vwr.com/store/catalog/product.jsp?catalog_number=82005-006</t>
  </si>
  <si>
    <t>http://www.daigger.com/Administration/DaiggerStore/tabid/86/CategoryID/19999/Default.aspx?section=0</t>
  </si>
  <si>
    <t>http://www.thomassci.com/Equipment/Ambient-Temperature-Shakers/_/PLATFORM-SHAKERS?q=heidolph%20Rocking%20Shakers</t>
  </si>
  <si>
    <t>Average</t>
  </si>
  <si>
    <t>Normalized Value</t>
  </si>
  <si>
    <t>Average Normalized Value</t>
  </si>
  <si>
    <t>Max Normalized Value</t>
  </si>
  <si>
    <t>Min Normalized Value</t>
  </si>
  <si>
    <t>AAAAAHa8n3E=</t>
  </si>
  <si>
    <t>AAAAAHa8n3I=</t>
  </si>
  <si>
    <t>Data collected Oct. 3, 2012</t>
  </si>
  <si>
    <t>Amazon vs. Average - ttest score: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</si>
</sst>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&quot;$&quot;#,##0"/>
    <numFmt numFmtId="171" formatCode="#,##0.000"/>
    <numFmt numFmtId="172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166" fontId="0" fillId="0" borderId="0" xfId="0" applyNumberFormat="1"/>
    <xf numFmtId="0" fontId="2" fillId="0" borderId="0" xfId="1"/>
    <xf numFmtId="0" fontId="1" fillId="0" borderId="0" xfId="0" applyFont="1"/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171" fontId="0" fillId="0" borderId="0" xfId="0" applyNumberFormat="1"/>
    <xf numFmtId="172" fontId="0" fillId="0" borderId="0" xfId="0" applyNumberFormat="1"/>
    <xf numFmtId="0" fontId="1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ishersci.com/ecomm/servlet/itemdetail?storeId=10652&amp;langId=-1&amp;catalogId=29104&amp;productId=2201397&amp;distype=0&amp;highlightProductsItemsFlag=Y&amp;fromSearch=1" TargetMode="External"/><Relationship Id="rId18" Type="http://schemas.openxmlformats.org/officeDocument/2006/relationships/hyperlink" Target="http://www.amazonsupply.com/bd-353910-polystyrene-microtest-microliter/dp/B0090SCGE6/ref=sr_1_12?sr=1-12&amp;qid=1349277226" TargetMode="External"/><Relationship Id="rId26" Type="http://schemas.openxmlformats.org/officeDocument/2006/relationships/hyperlink" Target="http://www.coleparmer.com/Product/CryoTube_cryogenic_tube_with_round_bottom_4_5_mL_50_bag/EW-03755-40" TargetMode="External"/><Relationship Id="rId39" Type="http://schemas.openxmlformats.org/officeDocument/2006/relationships/hyperlink" Target="http://www.daigger.com/Administration/DaiggerStore/tabid/86/CategoryID/17455/Default.aspx?section=0" TargetMode="External"/><Relationship Id="rId21" Type="http://schemas.openxmlformats.org/officeDocument/2006/relationships/hyperlink" Target="http://www.daigger.com/Administration/DaiggerStore/tabid/86/CategoryID/19835/Default.aspx?section=0" TargetMode="External"/><Relationship Id="rId34" Type="http://schemas.openxmlformats.org/officeDocument/2006/relationships/hyperlink" Target="http://www.coleparmer.com/Product/Corning_cell_culture_flask_CellBind_surface_75_cm2_canted_neck_vent_cap/EW-01835-32" TargetMode="External"/><Relationship Id="rId42" Type="http://schemas.openxmlformats.org/officeDocument/2006/relationships/hyperlink" Target="http://www.amazonsupply.com/scientific-industries-si-d238-disruptor-3000rpm/dp/B004TNQ9BI/ref=sr_1_3?sr=1-3&amp;qid=1349283582" TargetMode="External"/><Relationship Id="rId47" Type="http://schemas.openxmlformats.org/officeDocument/2006/relationships/hyperlink" Target="http://www.thomassci.com/Equipment/Ambient-Temperature-Shakers/_/Vortex-Genie-1?q=vortex%20genie" TargetMode="External"/><Relationship Id="rId50" Type="http://schemas.openxmlformats.org/officeDocument/2006/relationships/hyperlink" Target="https://us.vwr.com/store/catalog/product.jsp?catalog_number=82005-006" TargetMode="External"/><Relationship Id="rId55" Type="http://schemas.openxmlformats.org/officeDocument/2006/relationships/vmlDrawing" Target="../drawings/vmlDrawing1.vml"/><Relationship Id="rId7" Type="http://schemas.openxmlformats.org/officeDocument/2006/relationships/hyperlink" Target="http://www.amazonsupply.com/dp/B003UTUPL2/ref=sp_dp_g2c_asin" TargetMode="External"/><Relationship Id="rId2" Type="http://schemas.openxmlformats.org/officeDocument/2006/relationships/hyperlink" Target="http://www.fishersci.com/ecomm/servlet/itemdetail?catalogId=29104&amp;productId=12979308&amp;storeId=10652&amp;langId=-1&amp;distype=0&amp;accessories=false&amp;isChemical=&amp;fromSearch=1&amp;highlightProductsItemsFlag=Y" TargetMode="External"/><Relationship Id="rId16" Type="http://schemas.openxmlformats.org/officeDocument/2006/relationships/hyperlink" Target="http://www.coleparmer.com/Product/PYREX_Brand_5640_Volumetric_Flask_250_mL_pack_of_6/EW-34505-09" TargetMode="External"/><Relationship Id="rId29" Type="http://schemas.openxmlformats.org/officeDocument/2006/relationships/hyperlink" Target="http://www.fishersci.com/ecomm/servlet/fsproductdetail?storeId=10652&amp;productId=14879822&amp;catalogId=29104&amp;matchedCatNo=14259260" TargetMode="External"/><Relationship Id="rId11" Type="http://schemas.openxmlformats.org/officeDocument/2006/relationships/hyperlink" Target="http://www.thomassci.com/Equipment/Bottletop-Dispensers/_/DISPENSETTEORGANIC?q=brandtech%20dispensette" TargetMode="External"/><Relationship Id="rId24" Type="http://schemas.openxmlformats.org/officeDocument/2006/relationships/hyperlink" Target="https://us.vwr.com/store/catalog/product.jsp?catalog_number=66021-984" TargetMode="External"/><Relationship Id="rId32" Type="http://schemas.openxmlformats.org/officeDocument/2006/relationships/hyperlink" Target="http://www.fishersci.com/ecomm/servlet/itemdetail?storeId=10652&amp;langId=-1&amp;catalogId=29104&amp;productId=2871348&amp;distype=0&amp;highlightProductsItemsFlag=Y&amp;fromSearch=1" TargetMode="External"/><Relationship Id="rId37" Type="http://schemas.openxmlformats.org/officeDocument/2006/relationships/hyperlink" Target="http://www.fishersci.com/ecomm/servlet/itemdetail?storeId=10652&amp;langId=-1&amp;catalogId=29104&amp;productId=13082177&amp;distype=0&amp;highlightProductsItemsFlag=Y&amp;fromSearch=1" TargetMode="External"/><Relationship Id="rId40" Type="http://schemas.openxmlformats.org/officeDocument/2006/relationships/hyperlink" Target="http://www.coleparmer.com/Product/Pipettor_Adjustable_Volume_10_to_100L/EW-24554-24" TargetMode="External"/><Relationship Id="rId45" Type="http://schemas.openxmlformats.org/officeDocument/2006/relationships/hyperlink" Target="http://www.daigger.com/Administration/DaiggerStore/tabid/86/CategoryID/14925/Default.aspx?section=0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www.coleparmer.com/Product/Eppendorf_5424_Microcentrifuge_with_24_tube_rotor_120V/EW-02580-00" TargetMode="External"/><Relationship Id="rId10" Type="http://schemas.openxmlformats.org/officeDocument/2006/relationships/hyperlink" Target="http://www.coleparmer.com/Product/BrandTech_Dispensette_Organic_Bottletop_Dispenser_Analog_Volume_Setting_1_0_to_10_0_mL/EW-07902-38" TargetMode="External"/><Relationship Id="rId19" Type="http://schemas.openxmlformats.org/officeDocument/2006/relationships/hyperlink" Target="http://www.fishersci.com/ecomm/servlet/itemdetail?storeId=10652&amp;langId=-1&amp;catalogId=29104&amp;productId=2085125&amp;distype=0&amp;highlightProductsItemsFlag=Y&amp;fromSearch=1" TargetMode="External"/><Relationship Id="rId31" Type="http://schemas.openxmlformats.org/officeDocument/2006/relationships/hyperlink" Target="http://www.amazonsupply.com/corning-3290-polystyrene-rectangular-cellbind/dp/B005J5BRSA/ref=sr_1_8?sr=1-8&amp;qid=1349282118" TargetMode="External"/><Relationship Id="rId44" Type="http://schemas.openxmlformats.org/officeDocument/2006/relationships/hyperlink" Target="https://us.vwr.com/store/catalog/product.jsp?catalog_number=89202-320" TargetMode="External"/><Relationship Id="rId52" Type="http://schemas.openxmlformats.org/officeDocument/2006/relationships/hyperlink" Target="http://www.thomassci.com/Equipment/Ambient-Temperature-Shakers/_/PLATFORM-SHAKERS?q=heidolph%20Rocking%20Shakers" TargetMode="External"/><Relationship Id="rId4" Type="http://schemas.openxmlformats.org/officeDocument/2006/relationships/hyperlink" Target="http://www.daigger.com/Administration/DaiggerStore/tabid/86/CategoryID/18692/Default.aspx?section=0" TargetMode="External"/><Relationship Id="rId9" Type="http://schemas.openxmlformats.org/officeDocument/2006/relationships/hyperlink" Target="http://www.daigger.com/Administration/DaiggerStore/tabid/86/CategoryID/18109/Default.aspx?section=0" TargetMode="External"/><Relationship Id="rId14" Type="http://schemas.openxmlformats.org/officeDocument/2006/relationships/hyperlink" Target="https://us.vwr.com/store/catalog/product.jsp?catalog_number=29624-102" TargetMode="External"/><Relationship Id="rId22" Type="http://schemas.openxmlformats.org/officeDocument/2006/relationships/hyperlink" Target="http://www.thomassci.com/Supplies/Plates/_/FALCON-96-WELL-ASSAY-PLATES?q=falcon%2096%20well%20plate" TargetMode="External"/><Relationship Id="rId27" Type="http://schemas.openxmlformats.org/officeDocument/2006/relationships/hyperlink" Target="http://www.thomassci.com/Supplies/Cryogenic-Vials/_/EXTERNALLY-THREADED-STARFOOT-CRYOTUBE-VIALS?q=nunc%20externally%20threaded" TargetMode="External"/><Relationship Id="rId30" Type="http://schemas.openxmlformats.org/officeDocument/2006/relationships/hyperlink" Target="http://www.daigger.com/Administration/DaiggerStore/tabid/86/CategoryID/20025/Default.aspx?section=0" TargetMode="External"/><Relationship Id="rId35" Type="http://schemas.openxmlformats.org/officeDocument/2006/relationships/hyperlink" Target="http://www.thomassci.com/Supplies/Cell-Culture-Flasks/_/75-cm-Cell-Culture-Flasks?q=corning%20cellbind" TargetMode="External"/><Relationship Id="rId43" Type="http://schemas.openxmlformats.org/officeDocument/2006/relationships/hyperlink" Target="http://www.fishersci.com/ecomm/servlet/itemdetail?itemdetail='item'&amp;storeId=10652&amp;productId=11363096&amp;catalogId=29104&amp;matchedCatNo=NC9945436&amp;fromSearch=1" TargetMode="External"/><Relationship Id="rId48" Type="http://schemas.openxmlformats.org/officeDocument/2006/relationships/hyperlink" Target="http://www.amazonsupply.com/heidolph-duomax-incubating-rocking-platform/dp/B001U5EXCA/ref=sr_1_2?sr=1-2&amp;qid=1349284643&amp;filterBy.brandtextbin=Heidolph" TargetMode="External"/><Relationship Id="rId56" Type="http://schemas.openxmlformats.org/officeDocument/2006/relationships/comments" Target="../comments1.xml"/><Relationship Id="rId8" Type="http://schemas.openxmlformats.org/officeDocument/2006/relationships/hyperlink" Target="https://us.vwr.com/store/catalog/product.jsp?catalog_number=72888-010" TargetMode="External"/><Relationship Id="rId51" Type="http://schemas.openxmlformats.org/officeDocument/2006/relationships/hyperlink" Target="http://www.daigger.com/Administration/DaiggerStore/tabid/86/CategoryID/19999/Default.aspx?section=0" TargetMode="External"/><Relationship Id="rId3" Type="http://schemas.openxmlformats.org/officeDocument/2006/relationships/hyperlink" Target="https://us.vwr.com/store/catalog/product.jsp?catalog_number=97058-912" TargetMode="External"/><Relationship Id="rId12" Type="http://schemas.openxmlformats.org/officeDocument/2006/relationships/hyperlink" Target="http://www.amazonsupply.com/dp/B004DGICZ2/ref=sp_dp_g2c_asin" TargetMode="External"/><Relationship Id="rId17" Type="http://schemas.openxmlformats.org/officeDocument/2006/relationships/hyperlink" Target="http://www.thomassci.com/Supplies/Volumetric-Flasks/_/PYREX-BRAND-CLASS-A-VOLUMETRIC-FLASKS?q=Pyrex%20Class%20A%20Volumetric%20Flasks" TargetMode="External"/><Relationship Id="rId25" Type="http://schemas.openxmlformats.org/officeDocument/2006/relationships/hyperlink" Target="http://www.daigger.com/Administration/DaiggerStore/tabid/86/CategoryID/16201/Default.aspx?section=0" TargetMode="External"/><Relationship Id="rId33" Type="http://schemas.openxmlformats.org/officeDocument/2006/relationships/hyperlink" Target="https://us.vwr.com/store/catalog/product.jsp?catalog_number=46610-078" TargetMode="External"/><Relationship Id="rId38" Type="http://schemas.openxmlformats.org/officeDocument/2006/relationships/hyperlink" Target="https://us.vwr.com/store/catalog/product.jsp?catalog_number=89042-194" TargetMode="External"/><Relationship Id="rId46" Type="http://schemas.openxmlformats.org/officeDocument/2006/relationships/hyperlink" Target="http://www.coleparmer.com/Product/Digital_Vortex_Genie_120V/EW-04724-40" TargetMode="External"/><Relationship Id="rId20" Type="http://schemas.openxmlformats.org/officeDocument/2006/relationships/hyperlink" Target="https://us.vwr.com/store/catalog/product.jsp?catalog_number=62406-015" TargetMode="External"/><Relationship Id="rId41" Type="http://schemas.openxmlformats.org/officeDocument/2006/relationships/hyperlink" Target="http://www.thomassci.com/Equipment/Single-Channel-Pipettors/_/BRAND-Transferpette-S-Pipettes?q=brandtech%20transferpette" TargetMode="External"/><Relationship Id="rId54" Type="http://schemas.openxmlformats.org/officeDocument/2006/relationships/customProperty" Target="../customProperty1.bin"/><Relationship Id="rId1" Type="http://schemas.openxmlformats.org/officeDocument/2006/relationships/hyperlink" Target="http://www.amazonsupply.com/eppendorf-microcentrifuge-control-24-place-aerosol-tight/dp/B005GRFFSO/ref=sr_1_2?sr=1-2&amp;qid=1349274427" TargetMode="External"/><Relationship Id="rId6" Type="http://schemas.openxmlformats.org/officeDocument/2006/relationships/hyperlink" Target="http://www.thomassci.com/Equipment/Centrifuges/_/Eppendorf-Microcentrifuge-5424?q=eppendorf%20centrifuge" TargetMode="External"/><Relationship Id="rId15" Type="http://schemas.openxmlformats.org/officeDocument/2006/relationships/hyperlink" Target="http://www.daigger.com/Administration/DaiggerStore/tabid/86/CategoryID/14656/Default.aspx?section=0" TargetMode="External"/><Relationship Id="rId23" Type="http://schemas.openxmlformats.org/officeDocument/2006/relationships/hyperlink" Target="http://www.amazonsupply.com/nunc-externally-self-standing-anti-rotation-polypropylene/dp/B008OZTSVU/ref=sr_1_18?sr=1-18&amp;qid=1349278844" TargetMode="External"/><Relationship Id="rId28" Type="http://schemas.openxmlformats.org/officeDocument/2006/relationships/hyperlink" Target="http://www.amazonsupply.com/ika-basic-small-orbital-shaker/dp/B0094JUK8A/ref=sr_1_4?sr=1-4&amp;qid=1349279967&amp;filterBy.brandtextbin=Ika" TargetMode="External"/><Relationship Id="rId36" Type="http://schemas.openxmlformats.org/officeDocument/2006/relationships/hyperlink" Target="http://www.amazonsupply.com/dp/B003ULPCWM/B007A3NGDS/ref=sr_1_1?reftag=sp_dp_g2c_box&amp;absoluteURL=true&amp;path=%2Fdp" TargetMode="External"/><Relationship Id="rId49" Type="http://schemas.openxmlformats.org/officeDocument/2006/relationships/hyperlink" Target="http://www.fishersci.com/ecomm/servlet/itemdetail?storeId=10652&amp;langId=-1&amp;catalogId=29104&amp;productId=13966949&amp;distype=0&amp;highlightProductsItemsFlag=Y&amp;fromSearch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93"/>
  <sheetViews>
    <sheetView tabSelected="1" workbookViewId="0"/>
  </sheetViews>
  <sheetFormatPr defaultRowHeight="15" x14ac:dyDescent="0.25"/>
  <cols>
    <col min="1" max="1" width="35.7109375" customWidth="1"/>
    <col min="2" max="2" width="14.7109375" bestFit="1" customWidth="1"/>
    <col min="6" max="6" width="11.85546875" bestFit="1" customWidth="1"/>
    <col min="7" max="7" width="16.5703125" bestFit="1" customWidth="1"/>
  </cols>
  <sheetData>
    <row r="1" spans="1:9" ht="15.75" x14ac:dyDescent="0.25">
      <c r="A1" s="6" t="s">
        <v>79</v>
      </c>
      <c r="B1" s="5" t="s">
        <v>15</v>
      </c>
      <c r="C1" s="5"/>
      <c r="D1" s="5"/>
      <c r="E1" s="5"/>
      <c r="F1" s="5"/>
      <c r="G1" s="5"/>
    </row>
    <row r="2" spans="1:9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6</v>
      </c>
      <c r="G2" s="4" t="s">
        <v>5</v>
      </c>
      <c r="I2" s="4" t="s">
        <v>72</v>
      </c>
    </row>
    <row r="3" spans="1:9" ht="30" x14ac:dyDescent="0.25">
      <c r="A3" s="1" t="s">
        <v>7</v>
      </c>
      <c r="B3" s="2">
        <v>2618</v>
      </c>
      <c r="C3" s="2">
        <v>2395</v>
      </c>
      <c r="D3" s="2">
        <v>2815</v>
      </c>
      <c r="E3" s="2">
        <v>2815</v>
      </c>
      <c r="F3" s="2">
        <v>2750</v>
      </c>
      <c r="G3" s="2">
        <v>2815</v>
      </c>
      <c r="H3" t="s">
        <v>14</v>
      </c>
      <c r="I3" s="2">
        <f>AVERAGE(B3:G3)</f>
        <v>2701.3333333333335</v>
      </c>
    </row>
    <row r="4" spans="1:9" x14ac:dyDescent="0.25"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t="s">
        <v>14</v>
      </c>
    </row>
    <row r="5" spans="1:9" ht="45" x14ac:dyDescent="0.25">
      <c r="A5" s="1" t="s">
        <v>16</v>
      </c>
      <c r="B5" s="2">
        <v>449</v>
      </c>
      <c r="C5" s="2"/>
      <c r="D5" s="2">
        <v>497</v>
      </c>
      <c r="E5" s="2">
        <v>477</v>
      </c>
      <c r="F5" s="2">
        <v>449</v>
      </c>
      <c r="G5" s="2">
        <v>449</v>
      </c>
      <c r="H5" t="s">
        <v>14</v>
      </c>
      <c r="I5" s="2">
        <f>AVERAGE(B5:G5)</f>
        <v>464.2</v>
      </c>
    </row>
    <row r="6" spans="1:9" x14ac:dyDescent="0.25">
      <c r="A6" s="1"/>
      <c r="B6" s="3" t="s">
        <v>17</v>
      </c>
      <c r="D6" s="3" t="s">
        <v>18</v>
      </c>
      <c r="E6" s="3" t="s">
        <v>19</v>
      </c>
      <c r="F6" s="3" t="s">
        <v>20</v>
      </c>
      <c r="G6" s="3" t="s">
        <v>21</v>
      </c>
      <c r="H6" t="s">
        <v>14</v>
      </c>
    </row>
    <row r="7" spans="1:9" ht="45" x14ac:dyDescent="0.25">
      <c r="A7" s="1" t="s">
        <v>28</v>
      </c>
      <c r="B7" s="2">
        <v>217</v>
      </c>
      <c r="C7" s="2">
        <v>466</v>
      </c>
      <c r="D7" s="2">
        <v>349</v>
      </c>
      <c r="E7" s="2">
        <v>428</v>
      </c>
      <c r="F7" s="2">
        <v>428</v>
      </c>
      <c r="G7" s="2">
        <v>334</v>
      </c>
      <c r="H7" t="s">
        <v>14</v>
      </c>
      <c r="I7" s="2">
        <f>AVERAGE(B7:G7)</f>
        <v>370.33333333333331</v>
      </c>
    </row>
    <row r="8" spans="1:9" x14ac:dyDescent="0.25">
      <c r="A8" s="1"/>
      <c r="B8" s="3" t="s">
        <v>22</v>
      </c>
      <c r="C8" s="3" t="s">
        <v>23</v>
      </c>
      <c r="D8" s="3" t="s">
        <v>24</v>
      </c>
      <c r="E8" s="3" t="s">
        <v>25</v>
      </c>
      <c r="F8" s="3" t="s">
        <v>26</v>
      </c>
      <c r="G8" s="3" t="s">
        <v>27</v>
      </c>
      <c r="H8" t="s">
        <v>14</v>
      </c>
    </row>
    <row r="9" spans="1:9" ht="45" x14ac:dyDescent="0.25">
      <c r="A9" s="1" t="s">
        <v>34</v>
      </c>
      <c r="B9" s="2">
        <v>115</v>
      </c>
      <c r="C9" s="2">
        <v>131</v>
      </c>
      <c r="D9" s="2">
        <v>136</v>
      </c>
      <c r="E9" s="2">
        <v>116</v>
      </c>
      <c r="F9" s="2"/>
      <c r="G9" s="2">
        <v>116</v>
      </c>
      <c r="H9" t="s">
        <v>14</v>
      </c>
      <c r="I9" s="2">
        <f>AVERAGE(B9:G9)</f>
        <v>122.8</v>
      </c>
    </row>
    <row r="10" spans="1:9" x14ac:dyDescent="0.25">
      <c r="A10" s="1"/>
      <c r="B10" s="3" t="s">
        <v>29</v>
      </c>
      <c r="C10" s="3" t="s">
        <v>30</v>
      </c>
      <c r="D10" s="3" t="s">
        <v>31</v>
      </c>
      <c r="E10" s="3" t="s">
        <v>32</v>
      </c>
      <c r="G10" s="3" t="s">
        <v>33</v>
      </c>
      <c r="H10" t="s">
        <v>14</v>
      </c>
    </row>
    <row r="11" spans="1:9" ht="60" x14ac:dyDescent="0.25">
      <c r="A11" s="1" t="s">
        <v>35</v>
      </c>
      <c r="B11" s="2">
        <v>1113</v>
      </c>
      <c r="C11" s="2">
        <v>1162</v>
      </c>
      <c r="D11" s="2">
        <v>1138</v>
      </c>
      <c r="E11" s="2">
        <v>1783.16</v>
      </c>
      <c r="F11" s="2">
        <v>1112</v>
      </c>
      <c r="G11" s="2">
        <v>1113</v>
      </c>
      <c r="H11" t="s">
        <v>14</v>
      </c>
      <c r="I11" s="2">
        <f>AVERAGE(B11:G11)</f>
        <v>1236.8599999999999</v>
      </c>
    </row>
    <row r="12" spans="1:9" x14ac:dyDescent="0.25">
      <c r="A12" s="1"/>
      <c r="B12" s="3" t="s">
        <v>36</v>
      </c>
      <c r="C12" s="3" t="s">
        <v>44</v>
      </c>
      <c r="D12" s="3" t="s">
        <v>37</v>
      </c>
      <c r="E12" s="3" t="s">
        <v>38</v>
      </c>
      <c r="F12" s="3" t="s">
        <v>39</v>
      </c>
      <c r="G12" s="3" t="s">
        <v>40</v>
      </c>
      <c r="H12" t="s">
        <v>14</v>
      </c>
    </row>
    <row r="13" spans="1:9" ht="30" x14ac:dyDescent="0.25">
      <c r="A13" s="1" t="s">
        <v>41</v>
      </c>
      <c r="B13" s="2">
        <v>1270</v>
      </c>
      <c r="C13" s="2">
        <v>1290</v>
      </c>
      <c r="D13" s="2">
        <v>1393</v>
      </c>
      <c r="E13" s="2">
        <v>1290</v>
      </c>
      <c r="F13" s="2"/>
      <c r="G13" s="2">
        <v>1209</v>
      </c>
      <c r="H13" t="s">
        <v>14</v>
      </c>
      <c r="I13" s="2">
        <f>AVERAGE(B13:G13)</f>
        <v>1290.4000000000001</v>
      </c>
    </row>
    <row r="14" spans="1:9" x14ac:dyDescent="0.25">
      <c r="A14" s="1"/>
      <c r="B14" s="3" t="s">
        <v>42</v>
      </c>
      <c r="C14" s="3" t="s">
        <v>43</v>
      </c>
      <c r="E14" s="3" t="s">
        <v>45</v>
      </c>
      <c r="H14" t="s">
        <v>14</v>
      </c>
    </row>
    <row r="15" spans="1:9" ht="45" customHeight="1" x14ac:dyDescent="0.25">
      <c r="A15" s="1" t="s">
        <v>46</v>
      </c>
      <c r="B15" s="2">
        <v>452</v>
      </c>
      <c r="C15" s="2">
        <v>500</v>
      </c>
      <c r="D15" s="2">
        <v>472</v>
      </c>
      <c r="E15" s="2"/>
      <c r="F15" s="2">
        <v>454</v>
      </c>
      <c r="G15" s="2">
        <v>452</v>
      </c>
      <c r="H15" t="s">
        <v>14</v>
      </c>
      <c r="I15" s="2">
        <f>AVERAGE(B15:G15)</f>
        <v>466</v>
      </c>
    </row>
    <row r="16" spans="1:9" x14ac:dyDescent="0.25">
      <c r="A16" s="1"/>
      <c r="B16" s="3" t="s">
        <v>47</v>
      </c>
      <c r="C16" s="3" t="s">
        <v>48</v>
      </c>
      <c r="D16" s="3" t="s">
        <v>49</v>
      </c>
      <c r="F16" s="3" t="s">
        <v>50</v>
      </c>
      <c r="G16" s="3" t="s">
        <v>51</v>
      </c>
      <c r="H16" t="s">
        <v>14</v>
      </c>
    </row>
    <row r="17" spans="1:9" ht="60" x14ac:dyDescent="0.25">
      <c r="A17" s="1" t="s">
        <v>52</v>
      </c>
      <c r="B17" s="2">
        <v>214</v>
      </c>
      <c r="C17" s="2">
        <v>306</v>
      </c>
      <c r="D17" s="2">
        <v>306</v>
      </c>
      <c r="E17" s="2">
        <v>314</v>
      </c>
      <c r="F17" s="2">
        <v>295</v>
      </c>
      <c r="G17" s="2">
        <v>295</v>
      </c>
      <c r="H17" t="s">
        <v>14</v>
      </c>
      <c r="I17" s="2">
        <f>AVERAGE(B17:G17)</f>
        <v>288.33333333333331</v>
      </c>
    </row>
    <row r="18" spans="1:9" x14ac:dyDescent="0.25">
      <c r="A18" s="1"/>
      <c r="B18" s="3" t="s">
        <v>53</v>
      </c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t="s">
        <v>14</v>
      </c>
    </row>
    <row r="19" spans="1:9" ht="30" customHeight="1" x14ac:dyDescent="0.25">
      <c r="A19" s="1" t="s">
        <v>62</v>
      </c>
      <c r="B19" s="2">
        <v>447</v>
      </c>
      <c r="C19" s="2">
        <v>529</v>
      </c>
      <c r="D19" s="2">
        <v>477</v>
      </c>
      <c r="E19" s="2">
        <v>480</v>
      </c>
      <c r="F19" s="2">
        <v>447</v>
      </c>
      <c r="G19" s="2">
        <v>355</v>
      </c>
      <c r="H19" t="s">
        <v>14</v>
      </c>
      <c r="I19" s="2">
        <f>AVERAGE(B19:G19)</f>
        <v>455.83333333333331</v>
      </c>
    </row>
    <row r="20" spans="1:9" x14ac:dyDescent="0.25">
      <c r="A20" s="1"/>
      <c r="B20" s="3" t="s">
        <v>59</v>
      </c>
      <c r="C20" s="3" t="s">
        <v>60</v>
      </c>
      <c r="D20" s="3" t="s">
        <v>61</v>
      </c>
      <c r="E20" s="3" t="s">
        <v>63</v>
      </c>
      <c r="F20" s="3" t="s">
        <v>64</v>
      </c>
      <c r="G20" s="3" t="s">
        <v>65</v>
      </c>
      <c r="H20" t="s">
        <v>14</v>
      </c>
    </row>
    <row r="21" spans="1:9" ht="45" x14ac:dyDescent="0.25">
      <c r="A21" s="1" t="s">
        <v>66</v>
      </c>
      <c r="B21" s="2">
        <v>2245</v>
      </c>
      <c r="C21" s="2">
        <v>2465</v>
      </c>
      <c r="D21" s="2">
        <v>2588</v>
      </c>
      <c r="E21" s="2">
        <v>2279</v>
      </c>
      <c r="F21" s="2"/>
      <c r="G21" s="2">
        <v>2515</v>
      </c>
      <c r="H21" t="s">
        <v>14</v>
      </c>
      <c r="I21" s="2">
        <f>AVERAGE(B21:G21)</f>
        <v>2418.4</v>
      </c>
    </row>
    <row r="22" spans="1:9" x14ac:dyDescent="0.25">
      <c r="A22" s="1"/>
      <c r="B22" s="3" t="s">
        <v>67</v>
      </c>
      <c r="C22" s="3" t="s">
        <v>68</v>
      </c>
      <c r="D22" s="3" t="s">
        <v>69</v>
      </c>
      <c r="E22" s="3" t="s">
        <v>70</v>
      </c>
      <c r="G22" s="3" t="s">
        <v>71</v>
      </c>
      <c r="H22" t="s">
        <v>14</v>
      </c>
    </row>
    <row r="23" spans="1:9" x14ac:dyDescent="0.25">
      <c r="A23" s="1"/>
      <c r="B23" s="2"/>
      <c r="C23" s="2"/>
      <c r="D23" s="2"/>
      <c r="E23" s="2"/>
      <c r="F23" s="2"/>
      <c r="G23" s="2"/>
      <c r="H23" t="s">
        <v>14</v>
      </c>
    </row>
    <row r="24" spans="1:9" x14ac:dyDescent="0.25">
      <c r="A24" s="1"/>
      <c r="H24" t="s">
        <v>14</v>
      </c>
    </row>
    <row r="25" spans="1:9" x14ac:dyDescent="0.25">
      <c r="A25" s="1"/>
      <c r="H25" t="s">
        <v>14</v>
      </c>
    </row>
    <row r="26" spans="1:9" x14ac:dyDescent="0.25">
      <c r="A26" s="1"/>
      <c r="H26" t="s">
        <v>14</v>
      </c>
    </row>
    <row r="27" spans="1:9" x14ac:dyDescent="0.25">
      <c r="A27" s="1"/>
      <c r="H27" t="s">
        <v>14</v>
      </c>
    </row>
    <row r="28" spans="1:9" x14ac:dyDescent="0.25">
      <c r="A28" s="1"/>
      <c r="H28" t="s">
        <v>14</v>
      </c>
    </row>
    <row r="29" spans="1:9" x14ac:dyDescent="0.25">
      <c r="A29" s="1"/>
      <c r="H29" t="s">
        <v>14</v>
      </c>
    </row>
    <row r="30" spans="1:9" x14ac:dyDescent="0.25">
      <c r="A30" s="1"/>
      <c r="H30" t="s">
        <v>14</v>
      </c>
    </row>
    <row r="31" spans="1:9" x14ac:dyDescent="0.25">
      <c r="A31" s="1"/>
      <c r="H31" t="s">
        <v>14</v>
      </c>
    </row>
    <row r="32" spans="1:9" x14ac:dyDescent="0.25">
      <c r="A32" s="1"/>
      <c r="H32" t="s">
        <v>14</v>
      </c>
    </row>
    <row r="33" spans="1:8" x14ac:dyDescent="0.25">
      <c r="A33" s="1"/>
      <c r="H33" t="s">
        <v>14</v>
      </c>
    </row>
    <row r="34" spans="1:8" x14ac:dyDescent="0.25">
      <c r="A34" s="1"/>
      <c r="H34" t="s">
        <v>14</v>
      </c>
    </row>
    <row r="35" spans="1:8" x14ac:dyDescent="0.25">
      <c r="A35" s="1"/>
      <c r="H35" t="s">
        <v>14</v>
      </c>
    </row>
    <row r="36" spans="1:8" x14ac:dyDescent="0.25">
      <c r="A36" s="1"/>
      <c r="H36" t="s">
        <v>14</v>
      </c>
    </row>
    <row r="37" spans="1:8" x14ac:dyDescent="0.25">
      <c r="A37" s="1"/>
      <c r="H37" t="s">
        <v>14</v>
      </c>
    </row>
    <row r="38" spans="1:8" x14ac:dyDescent="0.25">
      <c r="A38" s="1"/>
      <c r="H38" t="s">
        <v>14</v>
      </c>
    </row>
    <row r="39" spans="1:8" x14ac:dyDescent="0.25">
      <c r="A39" s="1"/>
      <c r="H39" t="s">
        <v>14</v>
      </c>
    </row>
    <row r="40" spans="1:8" x14ac:dyDescent="0.25">
      <c r="A40" s="1"/>
      <c r="H40" t="s">
        <v>14</v>
      </c>
    </row>
    <row r="41" spans="1:8" x14ac:dyDescent="0.25">
      <c r="A41" s="1"/>
      <c r="H41" t="s">
        <v>14</v>
      </c>
    </row>
    <row r="42" spans="1:8" x14ac:dyDescent="0.25">
      <c r="A42" s="1"/>
      <c r="H42" t="s">
        <v>14</v>
      </c>
    </row>
    <row r="43" spans="1:8" x14ac:dyDescent="0.25">
      <c r="A43" s="1"/>
      <c r="H43" t="s">
        <v>14</v>
      </c>
    </row>
    <row r="44" spans="1:8" x14ac:dyDescent="0.25">
      <c r="A44" s="1"/>
      <c r="H44" t="s">
        <v>14</v>
      </c>
    </row>
    <row r="45" spans="1:8" x14ac:dyDescent="0.25">
      <c r="A45" s="1"/>
      <c r="H45" t="s">
        <v>14</v>
      </c>
    </row>
    <row r="46" spans="1:8" x14ac:dyDescent="0.25">
      <c r="A46" s="1"/>
      <c r="H46" t="s">
        <v>14</v>
      </c>
    </row>
    <row r="47" spans="1:8" x14ac:dyDescent="0.25">
      <c r="A47" s="1"/>
      <c r="H47" t="s">
        <v>14</v>
      </c>
    </row>
    <row r="48" spans="1:8" x14ac:dyDescent="0.25">
      <c r="A48" s="1"/>
      <c r="H48" t="s">
        <v>14</v>
      </c>
    </row>
    <row r="49" spans="1:8" x14ac:dyDescent="0.25">
      <c r="A49" s="1"/>
      <c r="H49" t="s">
        <v>14</v>
      </c>
    </row>
    <row r="50" spans="1:8" x14ac:dyDescent="0.25">
      <c r="A50" s="1"/>
      <c r="H50" t="s">
        <v>14</v>
      </c>
    </row>
    <row r="51" spans="1:8" x14ac:dyDescent="0.25">
      <c r="A51" s="1"/>
      <c r="H51" t="s">
        <v>14</v>
      </c>
    </row>
    <row r="52" spans="1:8" x14ac:dyDescent="0.25">
      <c r="A52" s="1"/>
      <c r="H52" t="s">
        <v>14</v>
      </c>
    </row>
    <row r="53" spans="1:8" x14ac:dyDescent="0.25">
      <c r="A53" s="1"/>
      <c r="H53" t="s">
        <v>14</v>
      </c>
    </row>
    <row r="54" spans="1:8" x14ac:dyDescent="0.25">
      <c r="A54" s="1"/>
      <c r="H54" t="s">
        <v>14</v>
      </c>
    </row>
    <row r="55" spans="1:8" x14ac:dyDescent="0.25">
      <c r="A55" s="1"/>
      <c r="H55" t="s">
        <v>14</v>
      </c>
    </row>
    <row r="56" spans="1:8" x14ac:dyDescent="0.25">
      <c r="A56" s="1"/>
      <c r="H56" t="s">
        <v>14</v>
      </c>
    </row>
    <row r="57" spans="1:8" x14ac:dyDescent="0.25">
      <c r="A57" s="1"/>
      <c r="H57" t="s">
        <v>14</v>
      </c>
    </row>
    <row r="58" spans="1:8" x14ac:dyDescent="0.25">
      <c r="A58" s="1"/>
      <c r="H58" t="s">
        <v>14</v>
      </c>
    </row>
    <row r="59" spans="1:8" x14ac:dyDescent="0.25">
      <c r="A59" s="1"/>
      <c r="H59" t="s">
        <v>14</v>
      </c>
    </row>
    <row r="60" spans="1:8" x14ac:dyDescent="0.25">
      <c r="A60" s="1"/>
      <c r="H60" t="s">
        <v>14</v>
      </c>
    </row>
    <row r="61" spans="1:8" x14ac:dyDescent="0.25">
      <c r="A61" s="1"/>
      <c r="H61" t="s">
        <v>14</v>
      </c>
    </row>
    <row r="62" spans="1:8" x14ac:dyDescent="0.25">
      <c r="A62" s="1"/>
      <c r="H62" t="s">
        <v>14</v>
      </c>
    </row>
    <row r="63" spans="1:8" x14ac:dyDescent="0.25">
      <c r="A63" s="1"/>
      <c r="H63" t="s">
        <v>14</v>
      </c>
    </row>
    <row r="64" spans="1:8" x14ac:dyDescent="0.25">
      <c r="A64" s="1"/>
      <c r="H64" t="s">
        <v>14</v>
      </c>
    </row>
    <row r="65" spans="1:8" x14ac:dyDescent="0.25">
      <c r="A65" s="1"/>
      <c r="H65" t="s">
        <v>14</v>
      </c>
    </row>
    <row r="66" spans="1:8" x14ac:dyDescent="0.25">
      <c r="A66" s="1"/>
      <c r="H66" t="s">
        <v>14</v>
      </c>
    </row>
    <row r="67" spans="1:8" x14ac:dyDescent="0.25">
      <c r="A67" s="1"/>
      <c r="H67" t="s">
        <v>14</v>
      </c>
    </row>
    <row r="68" spans="1:8" x14ac:dyDescent="0.25">
      <c r="A68" s="1"/>
      <c r="H68" t="s">
        <v>14</v>
      </c>
    </row>
    <row r="69" spans="1:8" x14ac:dyDescent="0.25">
      <c r="A69" s="1"/>
      <c r="H69" t="s">
        <v>14</v>
      </c>
    </row>
    <row r="70" spans="1:8" x14ac:dyDescent="0.25">
      <c r="A70" s="1"/>
      <c r="H70" t="s">
        <v>14</v>
      </c>
    </row>
    <row r="71" spans="1:8" x14ac:dyDescent="0.25">
      <c r="A71" s="1"/>
      <c r="H71" t="s">
        <v>14</v>
      </c>
    </row>
    <row r="72" spans="1:8" x14ac:dyDescent="0.25">
      <c r="A72" s="1"/>
      <c r="H72" t="s">
        <v>14</v>
      </c>
    </row>
    <row r="73" spans="1:8" x14ac:dyDescent="0.25">
      <c r="A73" s="1"/>
      <c r="H73" t="s">
        <v>14</v>
      </c>
    </row>
    <row r="74" spans="1:8" x14ac:dyDescent="0.25">
      <c r="A74" s="1"/>
      <c r="H74" t="s">
        <v>14</v>
      </c>
    </row>
    <row r="75" spans="1:8" x14ac:dyDescent="0.25">
      <c r="A75" s="1"/>
      <c r="H75" t="s">
        <v>14</v>
      </c>
    </row>
    <row r="76" spans="1:8" x14ac:dyDescent="0.25">
      <c r="A76" s="1"/>
      <c r="H76" t="s">
        <v>14</v>
      </c>
    </row>
    <row r="77" spans="1:8" x14ac:dyDescent="0.25">
      <c r="A77" s="1"/>
      <c r="H77" t="s">
        <v>14</v>
      </c>
    </row>
    <row r="78" spans="1:8" x14ac:dyDescent="0.25">
      <c r="A78" s="1"/>
      <c r="H78" t="s">
        <v>14</v>
      </c>
    </row>
    <row r="79" spans="1:8" x14ac:dyDescent="0.25">
      <c r="A79" s="1"/>
      <c r="H79" t="s">
        <v>14</v>
      </c>
    </row>
    <row r="80" spans="1:8" x14ac:dyDescent="0.25">
      <c r="A80" s="1"/>
      <c r="H80" t="s">
        <v>14</v>
      </c>
    </row>
    <row r="81" spans="1:8" x14ac:dyDescent="0.25">
      <c r="A81" s="1"/>
      <c r="H81" t="s">
        <v>14</v>
      </c>
    </row>
    <row r="82" spans="1:8" x14ac:dyDescent="0.25">
      <c r="H82" t="s">
        <v>14</v>
      </c>
    </row>
    <row r="83" spans="1:8" x14ac:dyDescent="0.25">
      <c r="H83" t="s">
        <v>14</v>
      </c>
    </row>
    <row r="84" spans="1:8" x14ac:dyDescent="0.25">
      <c r="H84" t="s">
        <v>14</v>
      </c>
    </row>
    <row r="85" spans="1:8" x14ac:dyDescent="0.25">
      <c r="H85" t="s">
        <v>14</v>
      </c>
    </row>
    <row r="86" spans="1:8" x14ac:dyDescent="0.25">
      <c r="H86" t="s">
        <v>14</v>
      </c>
    </row>
    <row r="87" spans="1:8" x14ac:dyDescent="0.25">
      <c r="H87" t="s">
        <v>14</v>
      </c>
    </row>
    <row r="88" spans="1:8" x14ac:dyDescent="0.25">
      <c r="H88" t="s">
        <v>14</v>
      </c>
    </row>
    <row r="89" spans="1:8" x14ac:dyDescent="0.25">
      <c r="H89" t="s">
        <v>14</v>
      </c>
    </row>
    <row r="90" spans="1:8" x14ac:dyDescent="0.25">
      <c r="H90" t="s">
        <v>14</v>
      </c>
    </row>
    <row r="91" spans="1:8" x14ac:dyDescent="0.25">
      <c r="H91" t="s">
        <v>14</v>
      </c>
    </row>
    <row r="92" spans="1:8" x14ac:dyDescent="0.25">
      <c r="H92" t="s">
        <v>14</v>
      </c>
    </row>
    <row r="93" spans="1:8" x14ac:dyDescent="0.25">
      <c r="H93" t="s">
        <v>14</v>
      </c>
    </row>
  </sheetData>
  <mergeCells count="1">
    <mergeCell ref="B1:G1"/>
  </mergeCells>
  <hyperlinks>
    <hyperlink ref="B4" r:id="rId1"/>
    <hyperlink ref="C4" r:id="rId2"/>
    <hyperlink ref="D4" r:id="rId3"/>
    <hyperlink ref="E4" r:id="rId4"/>
    <hyperlink ref="F4" r:id="rId5"/>
    <hyperlink ref="G4" r:id="rId6"/>
    <hyperlink ref="B6" r:id="rId7"/>
    <hyperlink ref="D6" r:id="rId8"/>
    <hyperlink ref="E6" r:id="rId9"/>
    <hyperlink ref="F6" r:id="rId10"/>
    <hyperlink ref="G6" r:id="rId11"/>
    <hyperlink ref="B8" r:id="rId12"/>
    <hyperlink ref="C8" r:id="rId13"/>
    <hyperlink ref="D8" r:id="rId14"/>
    <hyperlink ref="E8" r:id="rId15"/>
    <hyperlink ref="F8" r:id="rId16"/>
    <hyperlink ref="G8" r:id="rId17"/>
    <hyperlink ref="B10" r:id="rId18"/>
    <hyperlink ref="C10" r:id="rId19"/>
    <hyperlink ref="D10" r:id="rId20"/>
    <hyperlink ref="E10" r:id="rId21"/>
    <hyperlink ref="G10" r:id="rId22"/>
    <hyperlink ref="B12" r:id="rId23"/>
    <hyperlink ref="C12"/>
    <hyperlink ref="D12" r:id="rId24"/>
    <hyperlink ref="E12" r:id="rId25"/>
    <hyperlink ref="F12" r:id="rId26"/>
    <hyperlink ref="G12" r:id="rId27"/>
    <hyperlink ref="B14" r:id="rId28"/>
    <hyperlink ref="C14" r:id="rId29"/>
    <hyperlink ref="E14" r:id="rId30"/>
    <hyperlink ref="B16" r:id="rId31"/>
    <hyperlink ref="C16" r:id="rId32"/>
    <hyperlink ref="D16" r:id="rId33"/>
    <hyperlink ref="F16" r:id="rId34"/>
    <hyperlink ref="G16" r:id="rId35"/>
    <hyperlink ref="B18" r:id="rId36"/>
    <hyperlink ref="C18" r:id="rId37"/>
    <hyperlink ref="D18" r:id="rId38"/>
    <hyperlink ref="E18" r:id="rId39"/>
    <hyperlink ref="F18" r:id="rId40"/>
    <hyperlink ref="G18" r:id="rId41"/>
    <hyperlink ref="B20" r:id="rId42"/>
    <hyperlink ref="C20" r:id="rId43"/>
    <hyperlink ref="D20" r:id="rId44"/>
    <hyperlink ref="E20" r:id="rId45"/>
    <hyperlink ref="F20" r:id="rId46"/>
    <hyperlink ref="G20" r:id="rId47"/>
    <hyperlink ref="B22" r:id="rId48"/>
    <hyperlink ref="C22" r:id="rId49"/>
    <hyperlink ref="D22" r:id="rId50"/>
    <hyperlink ref="E22" r:id="rId51"/>
    <hyperlink ref="G22" r:id="rId52"/>
  </hyperlinks>
  <pageMargins left="0.7" right="0.7" top="0.75" bottom="0.75" header="0.3" footer="0.3"/>
  <pageSetup orientation="portrait" r:id="rId53"/>
  <customProperties>
    <customPr name="DVSECTIONID" r:id="rId54"/>
  </customProperties>
  <legacyDrawing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8"/>
  <sheetViews>
    <sheetView workbookViewId="0"/>
  </sheetViews>
  <sheetFormatPr defaultRowHeight="15" x14ac:dyDescent="0.25"/>
  <cols>
    <col min="1" max="1" width="35.7109375" customWidth="1"/>
    <col min="2" max="2" width="14.7109375" bestFit="1" customWidth="1"/>
    <col min="6" max="6" width="12.140625" bestFit="1" customWidth="1"/>
    <col min="7" max="7" width="16.5703125" bestFit="1" customWidth="1"/>
  </cols>
  <sheetData>
    <row r="1" spans="1:9" ht="15.75" x14ac:dyDescent="0.25">
      <c r="A1" s="6">
        <v>41185</v>
      </c>
      <c r="B1" s="5" t="s">
        <v>73</v>
      </c>
      <c r="C1" s="5"/>
      <c r="D1" s="5"/>
      <c r="E1" s="5"/>
      <c r="F1" s="5"/>
      <c r="G1" s="5"/>
    </row>
    <row r="2" spans="1:9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6</v>
      </c>
      <c r="G2" s="4" t="s">
        <v>5</v>
      </c>
      <c r="I2" s="4" t="s">
        <v>72</v>
      </c>
    </row>
    <row r="3" spans="1:9" ht="30" x14ac:dyDescent="0.25">
      <c r="A3" s="1" t="s">
        <v>7</v>
      </c>
      <c r="B3" s="7">
        <f>'Prices &amp; References'!B3/'Prices &amp; References'!$I3</f>
        <v>0.96915103652517265</v>
      </c>
      <c r="C3" s="7">
        <f>'Prices &amp; References'!C3/'Prices &amp; References'!$I3</f>
        <v>0.88659921026653499</v>
      </c>
      <c r="D3" s="7">
        <f>'Prices &amp; References'!D3/'Prices &amp; References'!$I3</f>
        <v>1.0420779861796643</v>
      </c>
      <c r="E3" s="7">
        <f>'Prices &amp; References'!E3/'Prices &amp; References'!$I3</f>
        <v>1.0420779861796643</v>
      </c>
      <c r="F3" s="7">
        <f>'Prices &amp; References'!F3/'Prices &amp; References'!$I3</f>
        <v>1.0180157946692991</v>
      </c>
      <c r="G3" s="7">
        <f>'Prices &amp; References'!G3/'Prices &amp; References'!$I3</f>
        <v>1.0420779861796643</v>
      </c>
      <c r="I3" s="8">
        <f>AVERAGE(B3:G3)</f>
        <v>0.99999999999999989</v>
      </c>
    </row>
    <row r="4" spans="1:9" x14ac:dyDescent="0.25">
      <c r="A4" s="1"/>
      <c r="B4" s="2"/>
      <c r="C4" s="2"/>
      <c r="D4" s="2"/>
      <c r="E4" s="2"/>
      <c r="F4" s="2"/>
      <c r="G4" s="2"/>
      <c r="I4" s="8"/>
    </row>
    <row r="5" spans="1:9" ht="45" x14ac:dyDescent="0.25">
      <c r="A5" s="1" t="s">
        <v>16</v>
      </c>
      <c r="B5" s="7">
        <f>'Prices &amp; References'!B5/'Prices &amp; References'!$I5</f>
        <v>0.96725549332184402</v>
      </c>
      <c r="C5" s="7"/>
      <c r="D5" s="7">
        <f>'Prices &amp; References'!D5/'Prices &amp; References'!$I5</f>
        <v>1.0706591986212839</v>
      </c>
      <c r="E5" s="7">
        <f>'Prices &amp; References'!E5/'Prices &amp; References'!$I5</f>
        <v>1.0275743214131841</v>
      </c>
      <c r="F5" s="7">
        <f>'Prices &amp; References'!F5/'Prices &amp; References'!$I5</f>
        <v>0.96725549332184402</v>
      </c>
      <c r="G5" s="7">
        <f>'Prices &amp; References'!G5/'Prices &amp; References'!$I5</f>
        <v>0.96725549332184402</v>
      </c>
      <c r="I5" s="8">
        <f>AVERAGE(B5:G5)</f>
        <v>1</v>
      </c>
    </row>
    <row r="6" spans="1:9" x14ac:dyDescent="0.25">
      <c r="A6" s="1"/>
      <c r="B6" s="2"/>
      <c r="C6" s="2"/>
      <c r="D6" s="2"/>
      <c r="E6" s="2"/>
      <c r="F6" s="2"/>
      <c r="G6" s="2"/>
      <c r="I6" s="8"/>
    </row>
    <row r="7" spans="1:9" ht="45" x14ac:dyDescent="0.25">
      <c r="A7" s="1" t="s">
        <v>28</v>
      </c>
      <c r="B7" s="7">
        <f>'Prices &amp; References'!B7/'Prices &amp; References'!$I7</f>
        <v>0.58595859585958598</v>
      </c>
      <c r="C7" s="7">
        <f>'Prices &amp; References'!C7/'Prices &amp; References'!$I7</f>
        <v>1.2583258325832585</v>
      </c>
      <c r="D7" s="7">
        <f>'Prices &amp; References'!D7/'Prices &amp; References'!$I7</f>
        <v>0.9423942394239424</v>
      </c>
      <c r="E7" s="7">
        <f>'Prices &amp; References'!E7/'Prices &amp; References'!$I7</f>
        <v>1.1557155715571559</v>
      </c>
      <c r="F7" s="7">
        <f>'Prices &amp; References'!F7/'Prices &amp; References'!$I7</f>
        <v>1.1557155715571559</v>
      </c>
      <c r="G7" s="7">
        <f>'Prices &amp; References'!G7/'Prices &amp; References'!$I7</f>
        <v>0.90189018901890194</v>
      </c>
      <c r="I7" s="8">
        <f>AVERAGE(B7:G7)</f>
        <v>1.0000000000000002</v>
      </c>
    </row>
    <row r="8" spans="1:9" x14ac:dyDescent="0.25">
      <c r="A8" s="1"/>
      <c r="B8" s="2"/>
      <c r="C8" s="2"/>
      <c r="D8" s="2"/>
      <c r="E8" s="2"/>
      <c r="F8" s="2"/>
      <c r="G8" s="2"/>
      <c r="I8" s="8"/>
    </row>
    <row r="9" spans="1:9" ht="45" x14ac:dyDescent="0.25">
      <c r="A9" s="1" t="s">
        <v>34</v>
      </c>
      <c r="B9" s="7">
        <f>'Prices &amp; References'!B9/'Prices &amp; References'!$I9</f>
        <v>0.93648208469055372</v>
      </c>
      <c r="C9" s="7">
        <f>'Prices &amp; References'!C9/'Prices &amp; References'!$I9</f>
        <v>1.0667752442996743</v>
      </c>
      <c r="D9" s="7">
        <f>'Prices &amp; References'!D9/'Prices &amp; References'!$I9</f>
        <v>1.1074918566775245</v>
      </c>
      <c r="E9" s="7">
        <f>'Prices &amp; References'!E9/'Prices &amp; References'!$I9</f>
        <v>0.94462540716612375</v>
      </c>
      <c r="F9" s="7"/>
      <c r="G9" s="7">
        <f>'Prices &amp; References'!G9/'Prices &amp; References'!$I9</f>
        <v>0.94462540716612375</v>
      </c>
      <c r="I9" s="8">
        <f>AVERAGE(B9:G9)</f>
        <v>1</v>
      </c>
    </row>
    <row r="10" spans="1:9" x14ac:dyDescent="0.25">
      <c r="A10" s="1"/>
      <c r="B10" s="2"/>
      <c r="C10" s="2"/>
      <c r="D10" s="2"/>
      <c r="E10" s="2"/>
      <c r="F10" s="2"/>
      <c r="G10" s="2"/>
      <c r="I10" s="8"/>
    </row>
    <row r="11" spans="1:9" ht="60" x14ac:dyDescent="0.25">
      <c r="A11" s="1" t="s">
        <v>35</v>
      </c>
      <c r="B11" s="7">
        <f>'Prices &amp; References'!B11/'Prices &amp; References'!$I11</f>
        <v>0.89985932118428935</v>
      </c>
      <c r="C11" s="7">
        <f>'Prices &amp; References'!C11/'Prices &amp; References'!$I11</f>
        <v>0.93947576928674226</v>
      </c>
      <c r="D11" s="7">
        <f>'Prices &amp; References'!D11/'Prices &amp; References'!$I11</f>
        <v>0.92007179470594902</v>
      </c>
      <c r="E11" s="7">
        <f>'Prices &amp; References'!E11/'Prices &amp; References'!$I11</f>
        <v>1.4416829713953077</v>
      </c>
      <c r="F11" s="7">
        <f>'Prices &amp; References'!F11/'Prices &amp; References'!$I11</f>
        <v>0.89905082224342292</v>
      </c>
      <c r="G11" s="7">
        <f>'Prices &amp; References'!G11/'Prices &amp; References'!$I11</f>
        <v>0.89985932118428935</v>
      </c>
      <c r="I11" s="8">
        <f>AVERAGE(B11:G11)</f>
        <v>1</v>
      </c>
    </row>
    <row r="12" spans="1:9" x14ac:dyDescent="0.25">
      <c r="A12" s="1"/>
      <c r="B12" s="2"/>
      <c r="C12" s="2"/>
      <c r="D12" s="2"/>
      <c r="E12" s="2"/>
      <c r="F12" s="2"/>
      <c r="G12" s="2"/>
      <c r="I12" s="8"/>
    </row>
    <row r="13" spans="1:9" ht="30" x14ac:dyDescent="0.25">
      <c r="A13" s="1" t="s">
        <v>41</v>
      </c>
      <c r="B13" s="7">
        <f>'Prices &amp; References'!B13/'Prices &amp; References'!$I13</f>
        <v>0.98419094854308731</v>
      </c>
      <c r="C13" s="7">
        <f>'Prices &amp; References'!C13/'Prices &amp; References'!$I13</f>
        <v>0.99969001859888396</v>
      </c>
      <c r="D13" s="7">
        <f>'Prices &amp; References'!D13/'Prices &amp; References'!$I13</f>
        <v>1.0795102293862366</v>
      </c>
      <c r="E13" s="7">
        <f>'Prices &amp; References'!E13/'Prices &amp; References'!$I13</f>
        <v>0.99969001859888396</v>
      </c>
      <c r="F13" s="7"/>
      <c r="G13" s="7">
        <f>'Prices &amp; References'!G13/'Prices &amp; References'!$I13</f>
        <v>0.93691878487290758</v>
      </c>
      <c r="I13" s="8">
        <f>AVERAGE(B13:G13)</f>
        <v>0.99999999999999978</v>
      </c>
    </row>
    <row r="14" spans="1:9" x14ac:dyDescent="0.25">
      <c r="A14" s="1"/>
      <c r="B14" s="2"/>
      <c r="C14" s="2"/>
      <c r="D14" s="2"/>
      <c r="E14" s="2"/>
      <c r="F14" s="2"/>
      <c r="G14" s="2"/>
      <c r="I14" s="8"/>
    </row>
    <row r="15" spans="1:9" ht="45" x14ac:dyDescent="0.25">
      <c r="A15" s="1" t="s">
        <v>46</v>
      </c>
      <c r="B15" s="7">
        <f>'Prices &amp; References'!B15/'Prices &amp; References'!$I15</f>
        <v>0.96995708154506433</v>
      </c>
      <c r="C15" s="7">
        <f>'Prices &amp; References'!C15/'Prices &amp; References'!$I15</f>
        <v>1.0729613733905579</v>
      </c>
      <c r="D15" s="7">
        <f>'Prices &amp; References'!D15/'Prices &amp; References'!$I15</f>
        <v>1.0128755364806867</v>
      </c>
      <c r="E15" s="7"/>
      <c r="F15" s="7">
        <f>'Prices &amp; References'!F15/'Prices &amp; References'!$I15</f>
        <v>0.97424892703862664</v>
      </c>
      <c r="G15" s="7">
        <f>'Prices &amp; References'!G15/'Prices &amp; References'!$I15</f>
        <v>0.96995708154506433</v>
      </c>
      <c r="I15" s="8">
        <f>AVERAGE(B15:G15)</f>
        <v>1</v>
      </c>
    </row>
    <row r="16" spans="1:9" x14ac:dyDescent="0.25">
      <c r="A16" s="1"/>
      <c r="B16" s="2"/>
      <c r="C16" s="2"/>
      <c r="D16" s="2"/>
      <c r="E16" s="2"/>
      <c r="F16" s="2"/>
      <c r="G16" s="2"/>
      <c r="I16" s="8"/>
    </row>
    <row r="17" spans="1:9" ht="60" x14ac:dyDescent="0.25">
      <c r="A17" s="1" t="s">
        <v>52</v>
      </c>
      <c r="B17" s="7">
        <f>'Prices &amp; References'!B17/'Prices &amp; References'!$I17</f>
        <v>0.74219653179190759</v>
      </c>
      <c r="C17" s="7">
        <f>'Prices &amp; References'!C17/'Prices &amp; References'!$I17</f>
        <v>1.0612716763005781</v>
      </c>
      <c r="D17" s="7">
        <f>'Prices &amp; References'!D17/'Prices &amp; References'!$I17</f>
        <v>1.0612716763005781</v>
      </c>
      <c r="E17" s="7">
        <f>'Prices &amp; References'!E17/'Prices &amp; References'!$I17</f>
        <v>1.0890173410404624</v>
      </c>
      <c r="F17" s="7">
        <f>'Prices &amp; References'!F17/'Prices &amp; References'!$I17</f>
        <v>1.023121387283237</v>
      </c>
      <c r="G17" s="7">
        <f>'Prices &amp; References'!G17/'Prices &amp; References'!$I17</f>
        <v>1.023121387283237</v>
      </c>
      <c r="I17" s="8">
        <f>AVERAGE(B17:G17)</f>
        <v>1.0000000000000002</v>
      </c>
    </row>
    <row r="18" spans="1:9" x14ac:dyDescent="0.25">
      <c r="A18" s="1"/>
      <c r="B18" s="2"/>
      <c r="C18" s="2"/>
      <c r="D18" s="2"/>
      <c r="E18" s="2"/>
      <c r="F18" s="2"/>
      <c r="G18" s="2"/>
      <c r="I18" s="8"/>
    </row>
    <row r="19" spans="1:9" ht="30" x14ac:dyDescent="0.25">
      <c r="A19" s="1" t="s">
        <v>62</v>
      </c>
      <c r="B19" s="7">
        <f>'Prices &amp; References'!B19/'Prices &amp; References'!$I19</f>
        <v>0.98062157221206581</v>
      </c>
      <c r="C19" s="7">
        <f>'Prices &amp; References'!C19/'Prices &amp; References'!$I19</f>
        <v>1.160511882998172</v>
      </c>
      <c r="D19" s="7">
        <f>'Prices &amp; References'!D19/'Prices &amp; References'!$I19</f>
        <v>1.046435100548446</v>
      </c>
      <c r="E19" s="7">
        <f>'Prices &amp; References'!E19/'Prices &amp; References'!$I19</f>
        <v>1.0530164533820841</v>
      </c>
      <c r="F19" s="7">
        <f>'Prices &amp; References'!F19/'Prices &amp; References'!$I19</f>
        <v>0.98062157221206581</v>
      </c>
      <c r="G19" s="7">
        <f>'Prices &amp; References'!G19/'Prices &amp; References'!$I19</f>
        <v>0.77879341864716645</v>
      </c>
      <c r="I19" s="8">
        <f>AVERAGE(B19:G19)</f>
        <v>1</v>
      </c>
    </row>
    <row r="20" spans="1:9" x14ac:dyDescent="0.25">
      <c r="A20" s="1"/>
      <c r="B20" s="2"/>
      <c r="C20" s="2"/>
      <c r="D20" s="2"/>
      <c r="E20" s="2"/>
      <c r="F20" s="2"/>
      <c r="G20" s="2"/>
      <c r="I20" s="8"/>
    </row>
    <row r="21" spans="1:9" ht="45" x14ac:dyDescent="0.25">
      <c r="A21" s="1" t="s">
        <v>66</v>
      </c>
      <c r="B21" s="7">
        <f>'Prices &amp; References'!B21/'Prices &amp; References'!$I21</f>
        <v>0.9282997022825008</v>
      </c>
      <c r="C21" s="7">
        <f>'Prices &amp; References'!C21/'Prices &amp; References'!$I21</f>
        <v>1.0192689381409197</v>
      </c>
      <c r="D21" s="7">
        <f>'Prices &amp; References'!D21/'Prices &amp; References'!$I21</f>
        <v>1.0701290109163082</v>
      </c>
      <c r="E21" s="7">
        <f>'Prices &amp; References'!E21/'Prices &amp; References'!$I21</f>
        <v>0.94235858418789276</v>
      </c>
      <c r="F21" s="7"/>
      <c r="G21" s="7">
        <f>'Prices &amp; References'!G21/'Prices &amp; References'!$I21</f>
        <v>1.0399437644723784</v>
      </c>
      <c r="I21" s="8">
        <f>AVERAGE(B21:G21)</f>
        <v>1</v>
      </c>
    </row>
    <row r="23" spans="1:9" x14ac:dyDescent="0.25">
      <c r="A23" s="9" t="s">
        <v>74</v>
      </c>
      <c r="B23" s="7">
        <f>AVERAGE(B3:B21)</f>
        <v>0.89639723679560712</v>
      </c>
      <c r="C23" s="7">
        <f t="shared" ref="C23:G23" si="0">AVERAGE(C3:C21)</f>
        <v>1.051653327318369</v>
      </c>
      <c r="D23" s="7">
        <f t="shared" si="0"/>
        <v>1.0352916629240618</v>
      </c>
      <c r="E23" s="7">
        <f t="shared" si="0"/>
        <v>1.0773065172134177</v>
      </c>
      <c r="F23" s="7">
        <f t="shared" si="0"/>
        <v>1.0025756526179501</v>
      </c>
      <c r="G23" s="7">
        <f t="shared" si="0"/>
        <v>0.95044428336915776</v>
      </c>
    </row>
    <row r="25" spans="1:9" x14ac:dyDescent="0.25">
      <c r="A25" s="9" t="s">
        <v>75</v>
      </c>
      <c r="B25" s="7">
        <f>MAX(B3:B21)</f>
        <v>0.98419094854308731</v>
      </c>
      <c r="C25" s="7">
        <f t="shared" ref="C25:G25" si="1">MAX(C3:C21)</f>
        <v>1.2583258325832585</v>
      </c>
      <c r="D25" s="7">
        <f t="shared" si="1"/>
        <v>1.1074918566775245</v>
      </c>
      <c r="E25" s="7">
        <f t="shared" si="1"/>
        <v>1.4416829713953077</v>
      </c>
      <c r="F25" s="7">
        <f t="shared" si="1"/>
        <v>1.1557155715571559</v>
      </c>
      <c r="G25" s="7">
        <f t="shared" si="1"/>
        <v>1.0420779861796643</v>
      </c>
    </row>
    <row r="26" spans="1:9" x14ac:dyDescent="0.25">
      <c r="A26" s="9" t="s">
        <v>76</v>
      </c>
      <c r="B26" s="7">
        <f>MIN(B3:B21)</f>
        <v>0.58595859585958598</v>
      </c>
      <c r="C26" s="7">
        <f t="shared" ref="C26:G26" si="2">MIN(C3:C21)</f>
        <v>0.88659921026653499</v>
      </c>
      <c r="D26" s="7">
        <f t="shared" si="2"/>
        <v>0.92007179470594902</v>
      </c>
      <c r="E26" s="7">
        <f t="shared" si="2"/>
        <v>0.94235858418789276</v>
      </c>
      <c r="F26" s="7">
        <f t="shared" si="2"/>
        <v>0.89905082224342292</v>
      </c>
      <c r="G26" s="7">
        <f t="shared" si="2"/>
        <v>0.77879341864716645</v>
      </c>
    </row>
    <row r="27" spans="1:9" x14ac:dyDescent="0.25">
      <c r="A27" s="9"/>
    </row>
    <row r="28" spans="1:9" x14ac:dyDescent="0.25">
      <c r="A28" s="9" t="s">
        <v>80</v>
      </c>
      <c r="B28" s="7">
        <f>TTEST(B3:B21,I3:I21,2,3)</f>
        <v>3.3301515286146444E-2</v>
      </c>
    </row>
  </sheetData>
  <mergeCells count="1">
    <mergeCell ref="B1:G1"/>
  </mergeCells>
  <pageMargins left="0.7" right="0.7" top="0.75" bottom="0.75" header="0.3" footer="0.3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V6"/>
  <sheetViews>
    <sheetView workbookViewId="0">
      <selection activeCell="DK5" sqref="DK5"/>
    </sheetView>
  </sheetViews>
  <sheetFormatPr defaultRowHeight="15" x14ac:dyDescent="0.25"/>
  <sheetData>
    <row r="1" spans="1:256" x14ac:dyDescent="0.25">
      <c r="A1" t="e">
        <f>IF('Prices &amp; References'!1:1,"AAAAAHfV/wA=",0)</f>
        <v>#VALUE!</v>
      </c>
      <c r="B1" t="e">
        <f>AND('Prices &amp; References'!A1,"AAAAAHfV/wE=")</f>
        <v>#VALUE!</v>
      </c>
      <c r="C1" t="e">
        <f>AND('Prices &amp; References'!B1,"AAAAAHfV/wI=")</f>
        <v>#VALUE!</v>
      </c>
      <c r="D1" t="e">
        <f>AND('Prices &amp; References'!C1,"AAAAAHfV/wM=")</f>
        <v>#VALUE!</v>
      </c>
      <c r="E1" t="e">
        <f>AND('Prices &amp; References'!D1,"AAAAAHfV/wQ=")</f>
        <v>#VALUE!</v>
      </c>
      <c r="F1" t="e">
        <f>AND('Prices &amp; References'!E1,"AAAAAHfV/wU=")</f>
        <v>#VALUE!</v>
      </c>
      <c r="G1" t="e">
        <f>AND('Prices &amp; References'!F1,"AAAAAHfV/wY=")</f>
        <v>#VALUE!</v>
      </c>
      <c r="H1" t="e">
        <f>AND('Prices &amp; References'!G1,"AAAAAHfV/wc=")</f>
        <v>#VALUE!</v>
      </c>
      <c r="I1" t="e">
        <f>AND('Prices &amp; References'!H1,"AAAAAHfV/wg=")</f>
        <v>#VALUE!</v>
      </c>
      <c r="J1" t="e">
        <f>AND('Prices &amp; References'!I1,"AAAAAHfV/wk=")</f>
        <v>#VALUE!</v>
      </c>
      <c r="K1">
        <f>IF('Prices &amp; References'!2:2,"AAAAAHfV/wo=",0)</f>
        <v>0</v>
      </c>
      <c r="L1" t="e">
        <f>AND('Prices &amp; References'!A2,"AAAAAHfV/ws=")</f>
        <v>#VALUE!</v>
      </c>
      <c r="M1" t="e">
        <f>AND('Prices &amp; References'!B2,"AAAAAHfV/ww=")</f>
        <v>#VALUE!</v>
      </c>
      <c r="N1" t="e">
        <f>AND('Prices &amp; References'!C2,"AAAAAHfV/w0=")</f>
        <v>#VALUE!</v>
      </c>
      <c r="O1" t="e">
        <f>AND('Prices &amp; References'!D2,"AAAAAHfV/w4=")</f>
        <v>#VALUE!</v>
      </c>
      <c r="P1" t="e">
        <f>AND('Prices &amp; References'!E2,"AAAAAHfV/w8=")</f>
        <v>#VALUE!</v>
      </c>
      <c r="Q1" t="e">
        <f>AND('Prices &amp; References'!F2,"AAAAAHfV/xA=")</f>
        <v>#VALUE!</v>
      </c>
      <c r="R1" t="e">
        <f>AND('Prices &amp; References'!G2,"AAAAAHfV/xE=")</f>
        <v>#VALUE!</v>
      </c>
      <c r="S1" t="e">
        <f>AND('Prices &amp; References'!H2,"AAAAAHfV/xI=")</f>
        <v>#VALUE!</v>
      </c>
      <c r="T1" t="e">
        <f>AND('Prices &amp; References'!I2,"AAAAAHfV/xM=")</f>
        <v>#VALUE!</v>
      </c>
      <c r="U1">
        <f>IF('Prices &amp; References'!3:3,"AAAAAHfV/xQ=",0)</f>
        <v>0</v>
      </c>
      <c r="V1" t="e">
        <f>AND('Prices &amp; References'!A3,"AAAAAHfV/xU=")</f>
        <v>#VALUE!</v>
      </c>
      <c r="W1" t="e">
        <f>AND('Prices &amp; References'!B3,"AAAAAHfV/xY=")</f>
        <v>#VALUE!</v>
      </c>
      <c r="X1" t="e">
        <f>AND('Prices &amp; References'!C3,"AAAAAHfV/xc=")</f>
        <v>#VALUE!</v>
      </c>
      <c r="Y1" t="e">
        <f>AND('Prices &amp; References'!D3,"AAAAAHfV/xg=")</f>
        <v>#VALUE!</v>
      </c>
      <c r="Z1" t="e">
        <f>AND('Prices &amp; References'!E3,"AAAAAHfV/xk=")</f>
        <v>#VALUE!</v>
      </c>
      <c r="AA1" t="e">
        <f>AND('Prices &amp; References'!F3,"AAAAAHfV/xo=")</f>
        <v>#VALUE!</v>
      </c>
      <c r="AB1" t="e">
        <f>AND('Prices &amp; References'!G3,"AAAAAHfV/xs=")</f>
        <v>#VALUE!</v>
      </c>
      <c r="AC1" t="e">
        <f>AND('Prices &amp; References'!H3,"AAAAAHfV/xw=")</f>
        <v>#VALUE!</v>
      </c>
      <c r="AD1" t="e">
        <f>AND('Prices &amp; References'!I3,"AAAAAHfV/x0=")</f>
        <v>#VALUE!</v>
      </c>
      <c r="AE1">
        <f>IF('Prices &amp; References'!4:4,"AAAAAHfV/x4=",0)</f>
        <v>0</v>
      </c>
      <c r="AF1" t="e">
        <f>AND('Prices &amp; References'!A4,"AAAAAHfV/x8=")</f>
        <v>#VALUE!</v>
      </c>
      <c r="AG1" t="e">
        <f>AND('Prices &amp; References'!B4,"AAAAAHfV/yA=")</f>
        <v>#VALUE!</v>
      </c>
      <c r="AH1" t="e">
        <f>AND('Prices &amp; References'!C4,"AAAAAHfV/yE=")</f>
        <v>#VALUE!</v>
      </c>
      <c r="AI1" t="e">
        <f>AND('Prices &amp; References'!D4,"AAAAAHfV/yI=")</f>
        <v>#VALUE!</v>
      </c>
      <c r="AJ1" t="e">
        <f>AND('Prices &amp; References'!E4,"AAAAAHfV/yM=")</f>
        <v>#VALUE!</v>
      </c>
      <c r="AK1" t="e">
        <f>AND('Prices &amp; References'!F4,"AAAAAHfV/yQ=")</f>
        <v>#VALUE!</v>
      </c>
      <c r="AL1" t="e">
        <f>AND('Prices &amp; References'!G4,"AAAAAHfV/yU=")</f>
        <v>#VALUE!</v>
      </c>
      <c r="AM1" t="e">
        <f>AND('Prices &amp; References'!H4,"AAAAAHfV/yY=")</f>
        <v>#VALUE!</v>
      </c>
      <c r="AN1" t="e">
        <f>AND('Prices &amp; References'!I4,"AAAAAHfV/yc=")</f>
        <v>#VALUE!</v>
      </c>
      <c r="AO1">
        <f>IF('Prices &amp; References'!5:5,"AAAAAHfV/yg=",0)</f>
        <v>0</v>
      </c>
      <c r="AP1" t="e">
        <f>AND('Prices &amp; References'!A5,"AAAAAHfV/yk=")</f>
        <v>#VALUE!</v>
      </c>
      <c r="AQ1" t="e">
        <f>AND('Prices &amp; References'!B5,"AAAAAHfV/yo=")</f>
        <v>#VALUE!</v>
      </c>
      <c r="AR1" t="e">
        <f>AND('Prices &amp; References'!C5,"AAAAAHfV/ys=")</f>
        <v>#VALUE!</v>
      </c>
      <c r="AS1" t="e">
        <f>AND('Prices &amp; References'!D5,"AAAAAHfV/yw=")</f>
        <v>#VALUE!</v>
      </c>
      <c r="AT1" t="e">
        <f>AND('Prices &amp; References'!E5,"AAAAAHfV/y0=")</f>
        <v>#VALUE!</v>
      </c>
      <c r="AU1" t="e">
        <f>AND('Prices &amp; References'!F5,"AAAAAHfV/y4=")</f>
        <v>#VALUE!</v>
      </c>
      <c r="AV1" t="e">
        <f>AND('Prices &amp; References'!G5,"AAAAAHfV/y8=")</f>
        <v>#VALUE!</v>
      </c>
      <c r="AW1" t="e">
        <f>AND('Prices &amp; References'!H5,"AAAAAHfV/zA=")</f>
        <v>#VALUE!</v>
      </c>
      <c r="AX1" t="e">
        <f>AND('Prices &amp; References'!I5,"AAAAAHfV/zE=")</f>
        <v>#VALUE!</v>
      </c>
      <c r="AY1">
        <f>IF('Prices &amp; References'!6:6,"AAAAAHfV/zI=",0)</f>
        <v>0</v>
      </c>
      <c r="AZ1" t="e">
        <f>AND('Prices &amp; References'!A6,"AAAAAHfV/zM=")</f>
        <v>#VALUE!</v>
      </c>
      <c r="BA1" t="e">
        <f>AND('Prices &amp; References'!B6,"AAAAAHfV/zQ=")</f>
        <v>#VALUE!</v>
      </c>
      <c r="BB1" t="e">
        <f>AND('Prices &amp; References'!C6,"AAAAAHfV/zU=")</f>
        <v>#VALUE!</v>
      </c>
      <c r="BC1" t="e">
        <f>AND('Prices &amp; References'!D6,"AAAAAHfV/zY=")</f>
        <v>#VALUE!</v>
      </c>
      <c r="BD1" t="e">
        <f>AND('Prices &amp; References'!E6,"AAAAAHfV/zc=")</f>
        <v>#VALUE!</v>
      </c>
      <c r="BE1" t="e">
        <f>AND('Prices &amp; References'!F6,"AAAAAHfV/zg=")</f>
        <v>#VALUE!</v>
      </c>
      <c r="BF1" t="e">
        <f>AND('Prices &amp; References'!G6,"AAAAAHfV/zk=")</f>
        <v>#VALUE!</v>
      </c>
      <c r="BG1" t="e">
        <f>AND('Prices &amp; References'!H6,"AAAAAHfV/zo=")</f>
        <v>#VALUE!</v>
      </c>
      <c r="BH1" t="e">
        <f>AND('Prices &amp; References'!I6,"AAAAAHfV/zs=")</f>
        <v>#VALUE!</v>
      </c>
      <c r="BI1">
        <f>IF('Prices &amp; References'!7:7,"AAAAAHfV/zw=",0)</f>
        <v>0</v>
      </c>
      <c r="BJ1" t="e">
        <f>AND('Prices &amp; References'!A7,"AAAAAHfV/z0=")</f>
        <v>#VALUE!</v>
      </c>
      <c r="BK1" t="e">
        <f>AND('Prices &amp; References'!B7,"AAAAAHfV/z4=")</f>
        <v>#VALUE!</v>
      </c>
      <c r="BL1" t="e">
        <f>AND('Prices &amp; References'!C7,"AAAAAHfV/z8=")</f>
        <v>#VALUE!</v>
      </c>
      <c r="BM1" t="e">
        <f>AND('Prices &amp; References'!D7,"AAAAAHfV/0A=")</f>
        <v>#VALUE!</v>
      </c>
      <c r="BN1" t="e">
        <f>AND('Prices &amp; References'!E7,"AAAAAHfV/0E=")</f>
        <v>#VALUE!</v>
      </c>
      <c r="BO1" t="e">
        <f>AND('Prices &amp; References'!F7,"AAAAAHfV/0I=")</f>
        <v>#VALUE!</v>
      </c>
      <c r="BP1" t="e">
        <f>AND('Prices &amp; References'!G7,"AAAAAHfV/0M=")</f>
        <v>#VALUE!</v>
      </c>
      <c r="BQ1" t="e">
        <f>AND('Prices &amp; References'!H7,"AAAAAHfV/0Q=")</f>
        <v>#VALUE!</v>
      </c>
      <c r="BR1" t="e">
        <f>AND('Prices &amp; References'!I7,"AAAAAHfV/0U=")</f>
        <v>#VALUE!</v>
      </c>
      <c r="BS1">
        <f>IF('Prices &amp; References'!8:8,"AAAAAHfV/0Y=",0)</f>
        <v>0</v>
      </c>
      <c r="BT1" t="e">
        <f>AND('Prices &amp; References'!A8,"AAAAAHfV/0c=")</f>
        <v>#VALUE!</v>
      </c>
      <c r="BU1" t="e">
        <f>AND('Prices &amp; References'!B8,"AAAAAHfV/0g=")</f>
        <v>#VALUE!</v>
      </c>
      <c r="BV1" t="e">
        <f>AND('Prices &amp; References'!C8,"AAAAAHfV/0k=")</f>
        <v>#VALUE!</v>
      </c>
      <c r="BW1" t="e">
        <f>AND('Prices &amp; References'!D8,"AAAAAHfV/0o=")</f>
        <v>#VALUE!</v>
      </c>
      <c r="BX1" t="e">
        <f>AND('Prices &amp; References'!E8,"AAAAAHfV/0s=")</f>
        <v>#VALUE!</v>
      </c>
      <c r="BY1" t="e">
        <f>AND('Prices &amp; References'!F8,"AAAAAHfV/0w=")</f>
        <v>#VALUE!</v>
      </c>
      <c r="BZ1" t="e">
        <f>AND('Prices &amp; References'!G8,"AAAAAHfV/00=")</f>
        <v>#VALUE!</v>
      </c>
      <c r="CA1" t="e">
        <f>AND('Prices &amp; References'!H8,"AAAAAHfV/04=")</f>
        <v>#VALUE!</v>
      </c>
      <c r="CB1" t="e">
        <f>AND('Prices &amp; References'!I8,"AAAAAHfV/08=")</f>
        <v>#VALUE!</v>
      </c>
      <c r="CC1">
        <f>IF('Prices &amp; References'!9:9,"AAAAAHfV/1A=",0)</f>
        <v>0</v>
      </c>
      <c r="CD1" t="e">
        <f>AND('Prices &amp; References'!A9,"AAAAAHfV/1E=")</f>
        <v>#VALUE!</v>
      </c>
      <c r="CE1" t="e">
        <f>AND('Prices &amp; References'!B9,"AAAAAHfV/1I=")</f>
        <v>#VALUE!</v>
      </c>
      <c r="CF1" t="e">
        <f>AND('Prices &amp; References'!C9,"AAAAAHfV/1M=")</f>
        <v>#VALUE!</v>
      </c>
      <c r="CG1" t="e">
        <f>AND('Prices &amp; References'!D9,"AAAAAHfV/1Q=")</f>
        <v>#VALUE!</v>
      </c>
      <c r="CH1" t="e">
        <f>AND('Prices &amp; References'!E9,"AAAAAHfV/1U=")</f>
        <v>#VALUE!</v>
      </c>
      <c r="CI1" t="e">
        <f>AND('Prices &amp; References'!F9,"AAAAAHfV/1Y=")</f>
        <v>#VALUE!</v>
      </c>
      <c r="CJ1" t="e">
        <f>AND('Prices &amp; References'!G9,"AAAAAHfV/1c=")</f>
        <v>#VALUE!</v>
      </c>
      <c r="CK1" t="e">
        <f>AND('Prices &amp; References'!H9,"AAAAAHfV/1g=")</f>
        <v>#VALUE!</v>
      </c>
      <c r="CL1" t="e">
        <f>AND('Prices &amp; References'!I9,"AAAAAHfV/1k=")</f>
        <v>#VALUE!</v>
      </c>
      <c r="CM1">
        <f>IF('Prices &amp; References'!10:10,"AAAAAHfV/1o=",0)</f>
        <v>0</v>
      </c>
      <c r="CN1" t="e">
        <f>AND('Prices &amp; References'!A10,"AAAAAHfV/1s=")</f>
        <v>#VALUE!</v>
      </c>
      <c r="CO1" t="e">
        <f>AND('Prices &amp; References'!B10,"AAAAAHfV/1w=")</f>
        <v>#VALUE!</v>
      </c>
      <c r="CP1" t="e">
        <f>AND('Prices &amp; References'!C10,"AAAAAHfV/10=")</f>
        <v>#VALUE!</v>
      </c>
      <c r="CQ1" t="e">
        <f>AND('Prices &amp; References'!D10,"AAAAAHfV/14=")</f>
        <v>#VALUE!</v>
      </c>
      <c r="CR1" t="e">
        <f>AND('Prices &amp; References'!E10,"AAAAAHfV/18=")</f>
        <v>#VALUE!</v>
      </c>
      <c r="CS1" t="e">
        <f>AND('Prices &amp; References'!F10,"AAAAAHfV/2A=")</f>
        <v>#VALUE!</v>
      </c>
      <c r="CT1" t="e">
        <f>AND('Prices &amp; References'!G10,"AAAAAHfV/2E=")</f>
        <v>#VALUE!</v>
      </c>
      <c r="CU1" t="e">
        <f>AND('Prices &amp; References'!H10,"AAAAAHfV/2I=")</f>
        <v>#VALUE!</v>
      </c>
      <c r="CV1" t="e">
        <f>AND('Prices &amp; References'!I10,"AAAAAHfV/2M=")</f>
        <v>#VALUE!</v>
      </c>
      <c r="CW1">
        <f>IF('Prices &amp; References'!11:11,"AAAAAHfV/2Q=",0)</f>
        <v>0</v>
      </c>
      <c r="CX1" t="e">
        <f>AND('Prices &amp; References'!A11,"AAAAAHfV/2U=")</f>
        <v>#VALUE!</v>
      </c>
      <c r="CY1" t="e">
        <f>AND('Prices &amp; References'!B11,"AAAAAHfV/2Y=")</f>
        <v>#VALUE!</v>
      </c>
      <c r="CZ1" t="e">
        <f>AND('Prices &amp; References'!C11,"AAAAAHfV/2c=")</f>
        <v>#VALUE!</v>
      </c>
      <c r="DA1" t="e">
        <f>AND('Prices &amp; References'!D11,"AAAAAHfV/2g=")</f>
        <v>#VALUE!</v>
      </c>
      <c r="DB1" t="e">
        <f>AND('Prices &amp; References'!E11,"AAAAAHfV/2k=")</f>
        <v>#VALUE!</v>
      </c>
      <c r="DC1" t="e">
        <f>AND('Prices &amp; References'!F11,"AAAAAHfV/2o=")</f>
        <v>#VALUE!</v>
      </c>
      <c r="DD1" t="e">
        <f>AND('Prices &amp; References'!G11,"AAAAAHfV/2s=")</f>
        <v>#VALUE!</v>
      </c>
      <c r="DE1" t="e">
        <f>AND('Prices &amp; References'!H11,"AAAAAHfV/2w=")</f>
        <v>#VALUE!</v>
      </c>
      <c r="DF1" t="e">
        <f>AND('Prices &amp; References'!I11,"AAAAAHfV/20=")</f>
        <v>#VALUE!</v>
      </c>
      <c r="DG1">
        <f>IF('Prices &amp; References'!12:12,"AAAAAHfV/24=",0)</f>
        <v>0</v>
      </c>
      <c r="DH1" t="e">
        <f>AND('Prices &amp; References'!A12,"AAAAAHfV/28=")</f>
        <v>#VALUE!</v>
      </c>
      <c r="DI1" t="e">
        <f>AND('Prices &amp; References'!B12,"AAAAAHfV/3A=")</f>
        <v>#VALUE!</v>
      </c>
      <c r="DJ1" t="e">
        <f>AND('Prices &amp; References'!C12,"AAAAAHfV/3E=")</f>
        <v>#VALUE!</v>
      </c>
      <c r="DK1" t="e">
        <f>AND('Prices &amp; References'!D12,"AAAAAHfV/3I=")</f>
        <v>#VALUE!</v>
      </c>
      <c r="DL1" t="e">
        <f>AND('Prices &amp; References'!E12,"AAAAAHfV/3M=")</f>
        <v>#VALUE!</v>
      </c>
      <c r="DM1" t="e">
        <f>AND('Prices &amp; References'!F12,"AAAAAHfV/3Q=")</f>
        <v>#VALUE!</v>
      </c>
      <c r="DN1" t="e">
        <f>AND('Prices &amp; References'!G12,"AAAAAHfV/3U=")</f>
        <v>#VALUE!</v>
      </c>
      <c r="DO1" t="e">
        <f>AND('Prices &amp; References'!H12,"AAAAAHfV/3Y=")</f>
        <v>#VALUE!</v>
      </c>
      <c r="DP1" t="e">
        <f>AND('Prices &amp; References'!I12,"AAAAAHfV/3c=")</f>
        <v>#VALUE!</v>
      </c>
      <c r="DQ1">
        <f>IF('Prices &amp; References'!13:13,"AAAAAHfV/3g=",0)</f>
        <v>0</v>
      </c>
      <c r="DR1" t="e">
        <f>AND('Prices &amp; References'!A13,"AAAAAHfV/3k=")</f>
        <v>#VALUE!</v>
      </c>
      <c r="DS1" t="e">
        <f>AND('Prices &amp; References'!B13,"AAAAAHfV/3o=")</f>
        <v>#VALUE!</v>
      </c>
      <c r="DT1" t="e">
        <f>AND('Prices &amp; References'!C13,"AAAAAHfV/3s=")</f>
        <v>#VALUE!</v>
      </c>
      <c r="DU1" t="e">
        <f>AND('Prices &amp; References'!D13,"AAAAAHfV/3w=")</f>
        <v>#VALUE!</v>
      </c>
      <c r="DV1" t="e">
        <f>AND('Prices &amp; References'!E13,"AAAAAHfV/30=")</f>
        <v>#VALUE!</v>
      </c>
      <c r="DW1" t="e">
        <f>AND('Prices &amp; References'!F13,"AAAAAHfV/34=")</f>
        <v>#VALUE!</v>
      </c>
      <c r="DX1" t="e">
        <f>AND('Prices &amp; References'!G13,"AAAAAHfV/38=")</f>
        <v>#VALUE!</v>
      </c>
      <c r="DY1" t="e">
        <f>AND('Prices &amp; References'!H13,"AAAAAHfV/4A=")</f>
        <v>#VALUE!</v>
      </c>
      <c r="DZ1" t="e">
        <f>AND('Prices &amp; References'!I13,"AAAAAHfV/4E=")</f>
        <v>#VALUE!</v>
      </c>
      <c r="EA1">
        <f>IF('Prices &amp; References'!14:14,"AAAAAHfV/4I=",0)</f>
        <v>0</v>
      </c>
      <c r="EB1" t="e">
        <f>AND('Prices &amp; References'!A14,"AAAAAHfV/4M=")</f>
        <v>#VALUE!</v>
      </c>
      <c r="EC1" t="e">
        <f>AND('Prices &amp; References'!B14,"AAAAAHfV/4Q=")</f>
        <v>#VALUE!</v>
      </c>
      <c r="ED1" t="e">
        <f>AND('Prices &amp; References'!C14,"AAAAAHfV/4U=")</f>
        <v>#VALUE!</v>
      </c>
      <c r="EE1" t="e">
        <f>AND('Prices &amp; References'!D14,"AAAAAHfV/4Y=")</f>
        <v>#VALUE!</v>
      </c>
      <c r="EF1" t="e">
        <f>AND('Prices &amp; References'!E14,"AAAAAHfV/4c=")</f>
        <v>#VALUE!</v>
      </c>
      <c r="EG1" t="e">
        <f>AND('Prices &amp; References'!F14,"AAAAAHfV/4g=")</f>
        <v>#VALUE!</v>
      </c>
      <c r="EH1" t="e">
        <f>AND('Prices &amp; References'!G14,"AAAAAHfV/4k=")</f>
        <v>#VALUE!</v>
      </c>
      <c r="EI1" t="e">
        <f>AND('Prices &amp; References'!H14,"AAAAAHfV/4o=")</f>
        <v>#VALUE!</v>
      </c>
      <c r="EJ1" t="e">
        <f>AND('Prices &amp; References'!I14,"AAAAAHfV/4s=")</f>
        <v>#VALUE!</v>
      </c>
      <c r="EK1">
        <f>IF('Prices &amp; References'!15:15,"AAAAAHfV/4w=",0)</f>
        <v>0</v>
      </c>
      <c r="EL1" t="e">
        <f>AND('Prices &amp; References'!A15,"AAAAAHfV/40=")</f>
        <v>#VALUE!</v>
      </c>
      <c r="EM1" t="e">
        <f>AND('Prices &amp; References'!B15,"AAAAAHfV/44=")</f>
        <v>#VALUE!</v>
      </c>
      <c r="EN1" t="e">
        <f>AND('Prices &amp; References'!C15,"AAAAAHfV/48=")</f>
        <v>#VALUE!</v>
      </c>
      <c r="EO1" t="e">
        <f>AND('Prices &amp; References'!D15,"AAAAAHfV/5A=")</f>
        <v>#VALUE!</v>
      </c>
      <c r="EP1" t="e">
        <f>AND('Prices &amp; References'!E15,"AAAAAHfV/5E=")</f>
        <v>#VALUE!</v>
      </c>
      <c r="EQ1" t="e">
        <f>AND('Prices &amp; References'!F15,"AAAAAHfV/5I=")</f>
        <v>#VALUE!</v>
      </c>
      <c r="ER1" t="e">
        <f>AND('Prices &amp; References'!G15,"AAAAAHfV/5M=")</f>
        <v>#VALUE!</v>
      </c>
      <c r="ES1" t="e">
        <f>AND('Prices &amp; References'!H15,"AAAAAHfV/5Q=")</f>
        <v>#VALUE!</v>
      </c>
      <c r="ET1" t="e">
        <f>AND('Prices &amp; References'!I15,"AAAAAHfV/5U=")</f>
        <v>#VALUE!</v>
      </c>
      <c r="EU1">
        <f>IF('Prices &amp; References'!16:16,"AAAAAHfV/5Y=",0)</f>
        <v>0</v>
      </c>
      <c r="EV1" t="e">
        <f>AND('Prices &amp; References'!A16,"AAAAAHfV/5c=")</f>
        <v>#VALUE!</v>
      </c>
      <c r="EW1" t="e">
        <f>AND('Prices &amp; References'!B16,"AAAAAHfV/5g=")</f>
        <v>#VALUE!</v>
      </c>
      <c r="EX1" t="e">
        <f>AND('Prices &amp; References'!C16,"AAAAAHfV/5k=")</f>
        <v>#VALUE!</v>
      </c>
      <c r="EY1" t="e">
        <f>AND('Prices &amp; References'!D16,"AAAAAHfV/5o=")</f>
        <v>#VALUE!</v>
      </c>
      <c r="EZ1" t="e">
        <f>AND('Prices &amp; References'!E16,"AAAAAHfV/5s=")</f>
        <v>#VALUE!</v>
      </c>
      <c r="FA1" t="e">
        <f>AND('Prices &amp; References'!F16,"AAAAAHfV/5w=")</f>
        <v>#VALUE!</v>
      </c>
      <c r="FB1" t="e">
        <f>AND('Prices &amp; References'!G16,"AAAAAHfV/50=")</f>
        <v>#VALUE!</v>
      </c>
      <c r="FC1" t="e">
        <f>AND('Prices &amp; References'!H16,"AAAAAHfV/54=")</f>
        <v>#VALUE!</v>
      </c>
      <c r="FD1" t="e">
        <f>AND('Prices &amp; References'!I16,"AAAAAHfV/58=")</f>
        <v>#VALUE!</v>
      </c>
      <c r="FE1">
        <f>IF('Prices &amp; References'!17:17,"AAAAAHfV/6A=",0)</f>
        <v>0</v>
      </c>
      <c r="FF1" t="e">
        <f>AND('Prices &amp; References'!A17,"AAAAAHfV/6E=")</f>
        <v>#VALUE!</v>
      </c>
      <c r="FG1" t="e">
        <f>AND('Prices &amp; References'!B17,"AAAAAHfV/6I=")</f>
        <v>#VALUE!</v>
      </c>
      <c r="FH1" t="e">
        <f>AND('Prices &amp; References'!C17,"AAAAAHfV/6M=")</f>
        <v>#VALUE!</v>
      </c>
      <c r="FI1" t="e">
        <f>AND('Prices &amp; References'!D17,"AAAAAHfV/6Q=")</f>
        <v>#VALUE!</v>
      </c>
      <c r="FJ1" t="e">
        <f>AND('Prices &amp; References'!E17,"AAAAAHfV/6U=")</f>
        <v>#VALUE!</v>
      </c>
      <c r="FK1" t="e">
        <f>AND('Prices &amp; References'!F17,"AAAAAHfV/6Y=")</f>
        <v>#VALUE!</v>
      </c>
      <c r="FL1" t="e">
        <f>AND('Prices &amp; References'!G17,"AAAAAHfV/6c=")</f>
        <v>#VALUE!</v>
      </c>
      <c r="FM1" t="e">
        <f>AND('Prices &amp; References'!H17,"AAAAAHfV/6g=")</f>
        <v>#VALUE!</v>
      </c>
      <c r="FN1" t="e">
        <f>AND('Prices &amp; References'!I17,"AAAAAHfV/6k=")</f>
        <v>#VALUE!</v>
      </c>
      <c r="FO1">
        <f>IF('Prices &amp; References'!18:18,"AAAAAHfV/6o=",0)</f>
        <v>0</v>
      </c>
      <c r="FP1" t="e">
        <f>AND('Prices &amp; References'!A18,"AAAAAHfV/6s=")</f>
        <v>#VALUE!</v>
      </c>
      <c r="FQ1" t="e">
        <f>AND('Prices &amp; References'!B18,"AAAAAHfV/6w=")</f>
        <v>#VALUE!</v>
      </c>
      <c r="FR1" t="e">
        <f>AND('Prices &amp; References'!C18,"AAAAAHfV/60=")</f>
        <v>#VALUE!</v>
      </c>
      <c r="FS1" t="e">
        <f>AND('Prices &amp; References'!D18,"AAAAAHfV/64=")</f>
        <v>#VALUE!</v>
      </c>
      <c r="FT1" t="e">
        <f>AND('Prices &amp; References'!E18,"AAAAAHfV/68=")</f>
        <v>#VALUE!</v>
      </c>
      <c r="FU1" t="e">
        <f>AND('Prices &amp; References'!F18,"AAAAAHfV/7A=")</f>
        <v>#VALUE!</v>
      </c>
      <c r="FV1" t="e">
        <f>AND('Prices &amp; References'!G18,"AAAAAHfV/7E=")</f>
        <v>#VALUE!</v>
      </c>
      <c r="FW1" t="e">
        <f>AND('Prices &amp; References'!H18,"AAAAAHfV/7I=")</f>
        <v>#VALUE!</v>
      </c>
      <c r="FX1" t="e">
        <f>AND('Prices &amp; References'!I18,"AAAAAHfV/7M=")</f>
        <v>#VALUE!</v>
      </c>
      <c r="FY1">
        <f>IF('Prices &amp; References'!19:19,"AAAAAHfV/7Q=",0)</f>
        <v>0</v>
      </c>
      <c r="FZ1" t="e">
        <f>AND('Prices &amp; References'!A19,"AAAAAHfV/7U=")</f>
        <v>#VALUE!</v>
      </c>
      <c r="GA1" t="e">
        <f>AND('Prices &amp; References'!B19,"AAAAAHfV/7Y=")</f>
        <v>#VALUE!</v>
      </c>
      <c r="GB1" t="e">
        <f>AND('Prices &amp; References'!C19,"AAAAAHfV/7c=")</f>
        <v>#VALUE!</v>
      </c>
      <c r="GC1" t="e">
        <f>AND('Prices &amp; References'!D19,"AAAAAHfV/7g=")</f>
        <v>#VALUE!</v>
      </c>
      <c r="GD1" t="e">
        <f>AND('Prices &amp; References'!E19,"AAAAAHfV/7k=")</f>
        <v>#VALUE!</v>
      </c>
      <c r="GE1" t="e">
        <f>AND('Prices &amp; References'!F19,"AAAAAHfV/7o=")</f>
        <v>#VALUE!</v>
      </c>
      <c r="GF1" t="e">
        <f>AND('Prices &amp; References'!G19,"AAAAAHfV/7s=")</f>
        <v>#VALUE!</v>
      </c>
      <c r="GG1" t="e">
        <f>AND('Prices &amp; References'!H19,"AAAAAHfV/7w=")</f>
        <v>#VALUE!</v>
      </c>
      <c r="GH1" t="e">
        <f>AND('Prices &amp; References'!I19,"AAAAAHfV/70=")</f>
        <v>#VALUE!</v>
      </c>
      <c r="GI1">
        <f>IF('Prices &amp; References'!20:20,"AAAAAHfV/74=",0)</f>
        <v>0</v>
      </c>
      <c r="GJ1" t="e">
        <f>AND('Prices &amp; References'!A20,"AAAAAHfV/78=")</f>
        <v>#VALUE!</v>
      </c>
      <c r="GK1" t="e">
        <f>AND('Prices &amp; References'!B20,"AAAAAHfV/8A=")</f>
        <v>#VALUE!</v>
      </c>
      <c r="GL1" t="e">
        <f>AND('Prices &amp; References'!C20,"AAAAAHfV/8E=")</f>
        <v>#VALUE!</v>
      </c>
      <c r="GM1" t="e">
        <f>AND('Prices &amp; References'!D20,"AAAAAHfV/8I=")</f>
        <v>#VALUE!</v>
      </c>
      <c r="GN1" t="e">
        <f>AND('Prices &amp; References'!E20,"AAAAAHfV/8M=")</f>
        <v>#VALUE!</v>
      </c>
      <c r="GO1" t="e">
        <f>AND('Prices &amp; References'!F20,"AAAAAHfV/8Q=")</f>
        <v>#VALUE!</v>
      </c>
      <c r="GP1" t="e">
        <f>AND('Prices &amp; References'!G20,"AAAAAHfV/8U=")</f>
        <v>#VALUE!</v>
      </c>
      <c r="GQ1" t="e">
        <f>AND('Prices &amp; References'!H20,"AAAAAHfV/8Y=")</f>
        <v>#VALUE!</v>
      </c>
      <c r="GR1" t="e">
        <f>AND('Prices &amp; References'!I20,"AAAAAHfV/8c=")</f>
        <v>#VALUE!</v>
      </c>
      <c r="GS1">
        <f>IF('Prices &amp; References'!21:21,"AAAAAHfV/8g=",0)</f>
        <v>0</v>
      </c>
      <c r="GT1" t="e">
        <f>AND('Prices &amp; References'!A21,"AAAAAHfV/8k=")</f>
        <v>#VALUE!</v>
      </c>
      <c r="GU1" t="e">
        <f>AND('Prices &amp; References'!B21,"AAAAAHfV/8o=")</f>
        <v>#VALUE!</v>
      </c>
      <c r="GV1" t="e">
        <f>AND('Prices &amp; References'!C21,"AAAAAHfV/8s=")</f>
        <v>#VALUE!</v>
      </c>
      <c r="GW1" t="e">
        <f>AND('Prices &amp; References'!D21,"AAAAAHfV/8w=")</f>
        <v>#VALUE!</v>
      </c>
      <c r="GX1" t="e">
        <f>AND('Prices &amp; References'!E21,"AAAAAHfV/80=")</f>
        <v>#VALUE!</v>
      </c>
      <c r="GY1" t="e">
        <f>AND('Prices &amp; References'!F21,"AAAAAHfV/84=")</f>
        <v>#VALUE!</v>
      </c>
      <c r="GZ1" t="e">
        <f>AND('Prices &amp; References'!G21,"AAAAAHfV/88=")</f>
        <v>#VALUE!</v>
      </c>
      <c r="HA1" t="e">
        <f>AND('Prices &amp; References'!H21,"AAAAAHfV/9A=")</f>
        <v>#VALUE!</v>
      </c>
      <c r="HB1" t="e">
        <f>AND('Prices &amp; References'!I21,"AAAAAHfV/9E=")</f>
        <v>#VALUE!</v>
      </c>
      <c r="HC1">
        <f>IF('Prices &amp; References'!22:22,"AAAAAHfV/9I=",0)</f>
        <v>0</v>
      </c>
      <c r="HD1" t="e">
        <f>AND('Prices &amp; References'!A22,"AAAAAHfV/9M=")</f>
        <v>#VALUE!</v>
      </c>
      <c r="HE1" t="e">
        <f>AND('Prices &amp; References'!B22,"AAAAAHfV/9Q=")</f>
        <v>#VALUE!</v>
      </c>
      <c r="HF1" t="e">
        <f>AND('Prices &amp; References'!C22,"AAAAAHfV/9U=")</f>
        <v>#VALUE!</v>
      </c>
      <c r="HG1" t="e">
        <f>AND('Prices &amp; References'!D22,"AAAAAHfV/9Y=")</f>
        <v>#VALUE!</v>
      </c>
      <c r="HH1" t="e">
        <f>AND('Prices &amp; References'!E22,"AAAAAHfV/9c=")</f>
        <v>#VALUE!</v>
      </c>
      <c r="HI1" t="e">
        <f>AND('Prices &amp; References'!F22,"AAAAAHfV/9g=")</f>
        <v>#VALUE!</v>
      </c>
      <c r="HJ1" t="e">
        <f>AND('Prices &amp; References'!G22,"AAAAAHfV/9k=")</f>
        <v>#VALUE!</v>
      </c>
      <c r="HK1" t="e">
        <f>AND('Prices &amp; References'!H22,"AAAAAHfV/9o=")</f>
        <v>#VALUE!</v>
      </c>
      <c r="HL1">
        <f>IF('Prices &amp; References'!23:23,"AAAAAHfV/9s=",0)</f>
        <v>0</v>
      </c>
      <c r="HM1" t="e">
        <f>AND('Prices &amp; References'!A23,"AAAAAHfV/9w=")</f>
        <v>#VALUE!</v>
      </c>
      <c r="HN1" t="e">
        <f>AND('Prices &amp; References'!B23,"AAAAAHfV/90=")</f>
        <v>#VALUE!</v>
      </c>
      <c r="HO1" t="e">
        <f>AND('Prices &amp; References'!C23,"AAAAAHfV/94=")</f>
        <v>#VALUE!</v>
      </c>
      <c r="HP1" t="e">
        <f>AND('Prices &amp; References'!D23,"AAAAAHfV/98=")</f>
        <v>#VALUE!</v>
      </c>
      <c r="HQ1" t="e">
        <f>AND('Prices &amp; References'!E23,"AAAAAHfV/+A=")</f>
        <v>#VALUE!</v>
      </c>
      <c r="HR1" t="e">
        <f>AND('Prices &amp; References'!F23,"AAAAAHfV/+E=")</f>
        <v>#VALUE!</v>
      </c>
      <c r="HS1" t="e">
        <f>AND('Prices &amp; References'!G23,"AAAAAHfV/+I=")</f>
        <v>#VALUE!</v>
      </c>
      <c r="HT1" t="e">
        <f>AND('Prices &amp; References'!H23,"AAAAAHfV/+M=")</f>
        <v>#VALUE!</v>
      </c>
      <c r="HU1">
        <f>IF('Prices &amp; References'!24:24,"AAAAAHfV/+Q=",0)</f>
        <v>0</v>
      </c>
      <c r="HV1" t="e">
        <f>AND('Prices &amp; References'!A24,"AAAAAHfV/+U=")</f>
        <v>#VALUE!</v>
      </c>
      <c r="HW1" t="e">
        <f>AND('Prices &amp; References'!B24,"AAAAAHfV/+Y=")</f>
        <v>#VALUE!</v>
      </c>
      <c r="HX1" t="e">
        <f>AND('Prices &amp; References'!C24,"AAAAAHfV/+c=")</f>
        <v>#VALUE!</v>
      </c>
      <c r="HY1" t="e">
        <f>AND('Prices &amp; References'!D24,"AAAAAHfV/+g=")</f>
        <v>#VALUE!</v>
      </c>
      <c r="HZ1" t="e">
        <f>AND('Prices &amp; References'!E24,"AAAAAHfV/+k=")</f>
        <v>#VALUE!</v>
      </c>
      <c r="IA1" t="e">
        <f>AND('Prices &amp; References'!F24,"AAAAAHfV/+o=")</f>
        <v>#VALUE!</v>
      </c>
      <c r="IB1" t="e">
        <f>AND('Prices &amp; References'!G24,"AAAAAHfV/+s=")</f>
        <v>#VALUE!</v>
      </c>
      <c r="IC1" t="e">
        <f>AND('Prices &amp; References'!H24,"AAAAAHfV/+w=")</f>
        <v>#VALUE!</v>
      </c>
      <c r="ID1">
        <f>IF('Prices &amp; References'!25:25,"AAAAAHfV/+0=",0)</f>
        <v>0</v>
      </c>
      <c r="IE1" t="e">
        <f>AND('Prices &amp; References'!A25,"AAAAAHfV/+4=")</f>
        <v>#VALUE!</v>
      </c>
      <c r="IF1" t="e">
        <f>AND('Prices &amp; References'!B25,"AAAAAHfV/+8=")</f>
        <v>#VALUE!</v>
      </c>
      <c r="IG1" t="e">
        <f>AND('Prices &amp; References'!C25,"AAAAAHfV//A=")</f>
        <v>#VALUE!</v>
      </c>
      <c r="IH1" t="e">
        <f>AND('Prices &amp; References'!D25,"AAAAAHfV//E=")</f>
        <v>#VALUE!</v>
      </c>
      <c r="II1" t="e">
        <f>AND('Prices &amp; References'!E25,"AAAAAHfV//I=")</f>
        <v>#VALUE!</v>
      </c>
      <c r="IJ1" t="e">
        <f>AND('Prices &amp; References'!F25,"AAAAAHfV//M=")</f>
        <v>#VALUE!</v>
      </c>
      <c r="IK1" t="e">
        <f>AND('Prices &amp; References'!G25,"AAAAAHfV//Q=")</f>
        <v>#VALUE!</v>
      </c>
      <c r="IL1" t="e">
        <f>AND('Prices &amp; References'!H25,"AAAAAHfV//U=")</f>
        <v>#VALUE!</v>
      </c>
      <c r="IM1">
        <f>IF('Prices &amp; References'!26:26,"AAAAAHfV//Y=",0)</f>
        <v>0</v>
      </c>
      <c r="IN1" t="e">
        <f>AND('Prices &amp; References'!A26,"AAAAAHfV//c=")</f>
        <v>#VALUE!</v>
      </c>
      <c r="IO1" t="e">
        <f>AND('Prices &amp; References'!B26,"AAAAAHfV//g=")</f>
        <v>#VALUE!</v>
      </c>
      <c r="IP1" t="e">
        <f>AND('Prices &amp; References'!C26,"AAAAAHfV//k=")</f>
        <v>#VALUE!</v>
      </c>
      <c r="IQ1" t="e">
        <f>AND('Prices &amp; References'!D26,"AAAAAHfV//o=")</f>
        <v>#VALUE!</v>
      </c>
      <c r="IR1" t="e">
        <f>AND('Prices &amp; References'!E26,"AAAAAHfV//s=")</f>
        <v>#VALUE!</v>
      </c>
      <c r="IS1" t="e">
        <f>AND('Prices &amp; References'!F26,"AAAAAHfV//w=")</f>
        <v>#VALUE!</v>
      </c>
      <c r="IT1" t="e">
        <f>AND('Prices &amp; References'!G26,"AAAAAHfV//0=")</f>
        <v>#VALUE!</v>
      </c>
      <c r="IU1" t="e">
        <f>AND('Prices &amp; References'!H26,"AAAAAHfV//4=")</f>
        <v>#VALUE!</v>
      </c>
      <c r="IV1">
        <f>IF('Prices &amp; References'!27:27,"AAAAAHfV//8=",0)</f>
        <v>0</v>
      </c>
    </row>
    <row r="2" spans="1:256" x14ac:dyDescent="0.25">
      <c r="A2" t="e">
        <f>AND('Prices &amp; References'!A27,"AAAAAG//ewA=")</f>
        <v>#VALUE!</v>
      </c>
      <c r="B2" t="e">
        <f>AND('Prices &amp; References'!B27,"AAAAAG//ewE=")</f>
        <v>#VALUE!</v>
      </c>
      <c r="C2" t="e">
        <f>AND('Prices &amp; References'!C27,"AAAAAG//ewI=")</f>
        <v>#VALUE!</v>
      </c>
      <c r="D2" t="e">
        <f>AND('Prices &amp; References'!D27,"AAAAAG//ewM=")</f>
        <v>#VALUE!</v>
      </c>
      <c r="E2" t="e">
        <f>AND('Prices &amp; References'!E27,"AAAAAG//ewQ=")</f>
        <v>#VALUE!</v>
      </c>
      <c r="F2" t="e">
        <f>AND('Prices &amp; References'!F27,"AAAAAG//ewU=")</f>
        <v>#VALUE!</v>
      </c>
      <c r="G2" t="e">
        <f>AND('Prices &amp; References'!G27,"AAAAAG//ewY=")</f>
        <v>#VALUE!</v>
      </c>
      <c r="H2" t="e">
        <f>AND('Prices &amp; References'!H27,"AAAAAG//ewc=")</f>
        <v>#VALUE!</v>
      </c>
      <c r="I2">
        <f>IF('Prices &amp; References'!28:28,"AAAAAG//ewg=",0)</f>
        <v>0</v>
      </c>
      <c r="J2" t="e">
        <f>AND('Prices &amp; References'!A28,"AAAAAG//ewk=")</f>
        <v>#VALUE!</v>
      </c>
      <c r="K2" t="e">
        <f>AND('Prices &amp; References'!B28,"AAAAAG//ewo=")</f>
        <v>#VALUE!</v>
      </c>
      <c r="L2" t="e">
        <f>AND('Prices &amp; References'!C28,"AAAAAG//ews=")</f>
        <v>#VALUE!</v>
      </c>
      <c r="M2" t="e">
        <f>AND('Prices &amp; References'!D28,"AAAAAG//eww=")</f>
        <v>#VALUE!</v>
      </c>
      <c r="N2" t="e">
        <f>AND('Prices &amp; References'!E28,"AAAAAG//ew0=")</f>
        <v>#VALUE!</v>
      </c>
      <c r="O2" t="e">
        <f>AND('Prices &amp; References'!F28,"AAAAAG//ew4=")</f>
        <v>#VALUE!</v>
      </c>
      <c r="P2" t="e">
        <f>AND('Prices &amp; References'!G28,"AAAAAG//ew8=")</f>
        <v>#VALUE!</v>
      </c>
      <c r="Q2" t="e">
        <f>AND('Prices &amp; References'!H28,"AAAAAG//exA=")</f>
        <v>#VALUE!</v>
      </c>
      <c r="R2">
        <f>IF('Prices &amp; References'!29:29,"AAAAAG//exE=",0)</f>
        <v>0</v>
      </c>
      <c r="S2" t="e">
        <f>AND('Prices &amp; References'!A29,"AAAAAG//exI=")</f>
        <v>#VALUE!</v>
      </c>
      <c r="T2" t="e">
        <f>AND('Prices &amp; References'!B29,"AAAAAG//exM=")</f>
        <v>#VALUE!</v>
      </c>
      <c r="U2" t="e">
        <f>AND('Prices &amp; References'!C29,"AAAAAG//exQ=")</f>
        <v>#VALUE!</v>
      </c>
      <c r="V2" t="e">
        <f>AND('Prices &amp; References'!D29,"AAAAAG//exU=")</f>
        <v>#VALUE!</v>
      </c>
      <c r="W2" t="e">
        <f>AND('Prices &amp; References'!E29,"AAAAAG//exY=")</f>
        <v>#VALUE!</v>
      </c>
      <c r="X2" t="e">
        <f>AND('Prices &amp; References'!F29,"AAAAAG//exc=")</f>
        <v>#VALUE!</v>
      </c>
      <c r="Y2" t="e">
        <f>AND('Prices &amp; References'!G29,"AAAAAG//exg=")</f>
        <v>#VALUE!</v>
      </c>
      <c r="Z2" t="e">
        <f>AND('Prices &amp; References'!H29,"AAAAAG//exk=")</f>
        <v>#VALUE!</v>
      </c>
      <c r="AA2">
        <f>IF('Prices &amp; References'!30:30,"AAAAAG//exo=",0)</f>
        <v>0</v>
      </c>
      <c r="AB2" t="e">
        <f>AND('Prices &amp; References'!A30,"AAAAAG//exs=")</f>
        <v>#VALUE!</v>
      </c>
      <c r="AC2" t="e">
        <f>AND('Prices &amp; References'!B30,"AAAAAG//exw=")</f>
        <v>#VALUE!</v>
      </c>
      <c r="AD2" t="e">
        <f>AND('Prices &amp; References'!C30,"AAAAAG//ex0=")</f>
        <v>#VALUE!</v>
      </c>
      <c r="AE2" t="e">
        <f>AND('Prices &amp; References'!D30,"AAAAAG//ex4=")</f>
        <v>#VALUE!</v>
      </c>
      <c r="AF2" t="e">
        <f>AND('Prices &amp; References'!E30,"AAAAAG//ex8=")</f>
        <v>#VALUE!</v>
      </c>
      <c r="AG2" t="e">
        <f>AND('Prices &amp; References'!F30,"AAAAAG//eyA=")</f>
        <v>#VALUE!</v>
      </c>
      <c r="AH2" t="e">
        <f>AND('Prices &amp; References'!G30,"AAAAAG//eyE=")</f>
        <v>#VALUE!</v>
      </c>
      <c r="AI2" t="e">
        <f>AND('Prices &amp; References'!H30,"AAAAAG//eyI=")</f>
        <v>#VALUE!</v>
      </c>
      <c r="AJ2">
        <f>IF('Prices &amp; References'!31:31,"AAAAAG//eyM=",0)</f>
        <v>0</v>
      </c>
      <c r="AK2" t="e">
        <f>AND('Prices &amp; References'!A31,"AAAAAG//eyQ=")</f>
        <v>#VALUE!</v>
      </c>
      <c r="AL2" t="e">
        <f>AND('Prices &amp; References'!B31,"AAAAAG//eyU=")</f>
        <v>#VALUE!</v>
      </c>
      <c r="AM2" t="e">
        <f>AND('Prices &amp; References'!C31,"AAAAAG//eyY=")</f>
        <v>#VALUE!</v>
      </c>
      <c r="AN2" t="e">
        <f>AND('Prices &amp; References'!D31,"AAAAAG//eyc=")</f>
        <v>#VALUE!</v>
      </c>
      <c r="AO2" t="e">
        <f>AND('Prices &amp; References'!E31,"AAAAAG//eyg=")</f>
        <v>#VALUE!</v>
      </c>
      <c r="AP2" t="e">
        <f>AND('Prices &amp; References'!F31,"AAAAAG//eyk=")</f>
        <v>#VALUE!</v>
      </c>
      <c r="AQ2" t="e">
        <f>AND('Prices &amp; References'!G31,"AAAAAG//eyo=")</f>
        <v>#VALUE!</v>
      </c>
      <c r="AR2" t="e">
        <f>AND('Prices &amp; References'!H31,"AAAAAG//eys=")</f>
        <v>#VALUE!</v>
      </c>
      <c r="AS2">
        <f>IF('Prices &amp; References'!32:32,"AAAAAG//eyw=",0)</f>
        <v>0</v>
      </c>
      <c r="AT2" t="e">
        <f>AND('Prices &amp; References'!A32,"AAAAAG//ey0=")</f>
        <v>#VALUE!</v>
      </c>
      <c r="AU2" t="e">
        <f>AND('Prices &amp; References'!B32,"AAAAAG//ey4=")</f>
        <v>#VALUE!</v>
      </c>
      <c r="AV2" t="e">
        <f>AND('Prices &amp; References'!C32,"AAAAAG//ey8=")</f>
        <v>#VALUE!</v>
      </c>
      <c r="AW2" t="e">
        <f>AND('Prices &amp; References'!D32,"AAAAAG//ezA=")</f>
        <v>#VALUE!</v>
      </c>
      <c r="AX2" t="e">
        <f>AND('Prices &amp; References'!E32,"AAAAAG//ezE=")</f>
        <v>#VALUE!</v>
      </c>
      <c r="AY2" t="e">
        <f>AND('Prices &amp; References'!F32,"AAAAAG//ezI=")</f>
        <v>#VALUE!</v>
      </c>
      <c r="AZ2" t="e">
        <f>AND('Prices &amp; References'!G32,"AAAAAG//ezM=")</f>
        <v>#VALUE!</v>
      </c>
      <c r="BA2" t="e">
        <f>AND('Prices &amp; References'!H32,"AAAAAG//ezQ=")</f>
        <v>#VALUE!</v>
      </c>
      <c r="BB2">
        <f>IF('Prices &amp; References'!33:33,"AAAAAG//ezU=",0)</f>
        <v>0</v>
      </c>
      <c r="BC2" t="e">
        <f>AND('Prices &amp; References'!A33,"AAAAAG//ezY=")</f>
        <v>#VALUE!</v>
      </c>
      <c r="BD2" t="e">
        <f>AND('Prices &amp; References'!B33,"AAAAAG//ezc=")</f>
        <v>#VALUE!</v>
      </c>
      <c r="BE2" t="e">
        <f>AND('Prices &amp; References'!C33,"AAAAAG//ezg=")</f>
        <v>#VALUE!</v>
      </c>
      <c r="BF2" t="e">
        <f>AND('Prices &amp; References'!D33,"AAAAAG//ezk=")</f>
        <v>#VALUE!</v>
      </c>
      <c r="BG2" t="e">
        <f>AND('Prices &amp; References'!E33,"AAAAAG//ezo=")</f>
        <v>#VALUE!</v>
      </c>
      <c r="BH2" t="e">
        <f>AND('Prices &amp; References'!F33,"AAAAAG//ezs=")</f>
        <v>#VALUE!</v>
      </c>
      <c r="BI2" t="e">
        <f>AND('Prices &amp; References'!G33,"AAAAAG//ezw=")</f>
        <v>#VALUE!</v>
      </c>
      <c r="BJ2" t="e">
        <f>AND('Prices &amp; References'!H33,"AAAAAG//ez0=")</f>
        <v>#VALUE!</v>
      </c>
      <c r="BK2">
        <f>IF('Prices &amp; References'!34:34,"AAAAAG//ez4=",0)</f>
        <v>0</v>
      </c>
      <c r="BL2" t="e">
        <f>AND('Prices &amp; References'!A34,"AAAAAG//ez8=")</f>
        <v>#VALUE!</v>
      </c>
      <c r="BM2" t="e">
        <f>AND('Prices &amp; References'!B34,"AAAAAG//e0A=")</f>
        <v>#VALUE!</v>
      </c>
      <c r="BN2" t="e">
        <f>AND('Prices &amp; References'!C34,"AAAAAG//e0E=")</f>
        <v>#VALUE!</v>
      </c>
      <c r="BO2" t="e">
        <f>AND('Prices &amp; References'!D34,"AAAAAG//e0I=")</f>
        <v>#VALUE!</v>
      </c>
      <c r="BP2" t="e">
        <f>AND('Prices &amp; References'!E34,"AAAAAG//e0M=")</f>
        <v>#VALUE!</v>
      </c>
      <c r="BQ2" t="e">
        <f>AND('Prices &amp; References'!F34,"AAAAAG//e0Q=")</f>
        <v>#VALUE!</v>
      </c>
      <c r="BR2" t="e">
        <f>AND('Prices &amp; References'!G34,"AAAAAG//e0U=")</f>
        <v>#VALUE!</v>
      </c>
      <c r="BS2" t="e">
        <f>AND('Prices &amp; References'!H34,"AAAAAG//e0Y=")</f>
        <v>#VALUE!</v>
      </c>
      <c r="BT2">
        <f>IF('Prices &amp; References'!35:35,"AAAAAG//e0c=",0)</f>
        <v>0</v>
      </c>
      <c r="BU2" t="e">
        <f>AND('Prices &amp; References'!A35,"AAAAAG//e0g=")</f>
        <v>#VALUE!</v>
      </c>
      <c r="BV2" t="e">
        <f>AND('Prices &amp; References'!B35,"AAAAAG//e0k=")</f>
        <v>#VALUE!</v>
      </c>
      <c r="BW2" t="e">
        <f>AND('Prices &amp; References'!C35,"AAAAAG//e0o=")</f>
        <v>#VALUE!</v>
      </c>
      <c r="BX2" t="e">
        <f>AND('Prices &amp; References'!D35,"AAAAAG//e0s=")</f>
        <v>#VALUE!</v>
      </c>
      <c r="BY2" t="e">
        <f>AND('Prices &amp; References'!E35,"AAAAAG//e0w=")</f>
        <v>#VALUE!</v>
      </c>
      <c r="BZ2" t="e">
        <f>AND('Prices &amp; References'!F35,"AAAAAG//e00=")</f>
        <v>#VALUE!</v>
      </c>
      <c r="CA2" t="e">
        <f>AND('Prices &amp; References'!G35,"AAAAAG//e04=")</f>
        <v>#VALUE!</v>
      </c>
      <c r="CB2" t="e">
        <f>AND('Prices &amp; References'!H35,"AAAAAG//e08=")</f>
        <v>#VALUE!</v>
      </c>
      <c r="CC2">
        <f>IF('Prices &amp; References'!36:36,"AAAAAG//e1A=",0)</f>
        <v>0</v>
      </c>
      <c r="CD2" t="e">
        <f>AND('Prices &amp; References'!A36,"AAAAAG//e1E=")</f>
        <v>#VALUE!</v>
      </c>
      <c r="CE2" t="e">
        <f>AND('Prices &amp; References'!B36,"AAAAAG//e1I=")</f>
        <v>#VALUE!</v>
      </c>
      <c r="CF2" t="e">
        <f>AND('Prices &amp; References'!C36,"AAAAAG//e1M=")</f>
        <v>#VALUE!</v>
      </c>
      <c r="CG2" t="e">
        <f>AND('Prices &amp; References'!D36,"AAAAAG//e1Q=")</f>
        <v>#VALUE!</v>
      </c>
      <c r="CH2" t="e">
        <f>AND('Prices &amp; References'!E36,"AAAAAG//e1U=")</f>
        <v>#VALUE!</v>
      </c>
      <c r="CI2" t="e">
        <f>AND('Prices &amp; References'!F36,"AAAAAG//e1Y=")</f>
        <v>#VALUE!</v>
      </c>
      <c r="CJ2" t="e">
        <f>AND('Prices &amp; References'!G36,"AAAAAG//e1c=")</f>
        <v>#VALUE!</v>
      </c>
      <c r="CK2" t="e">
        <f>AND('Prices &amp; References'!H36,"AAAAAG//e1g=")</f>
        <v>#VALUE!</v>
      </c>
      <c r="CL2">
        <f>IF('Prices &amp; References'!37:37,"AAAAAG//e1k=",0)</f>
        <v>0</v>
      </c>
      <c r="CM2" t="e">
        <f>AND('Prices &amp; References'!A37,"AAAAAG//e1o=")</f>
        <v>#VALUE!</v>
      </c>
      <c r="CN2" t="e">
        <f>AND('Prices &amp; References'!B37,"AAAAAG//e1s=")</f>
        <v>#VALUE!</v>
      </c>
      <c r="CO2" t="e">
        <f>AND('Prices &amp; References'!C37,"AAAAAG//e1w=")</f>
        <v>#VALUE!</v>
      </c>
      <c r="CP2" t="e">
        <f>AND('Prices &amp; References'!D37,"AAAAAG//e10=")</f>
        <v>#VALUE!</v>
      </c>
      <c r="CQ2" t="e">
        <f>AND('Prices &amp; References'!E37,"AAAAAG//e14=")</f>
        <v>#VALUE!</v>
      </c>
      <c r="CR2" t="e">
        <f>AND('Prices &amp; References'!F37,"AAAAAG//e18=")</f>
        <v>#VALUE!</v>
      </c>
      <c r="CS2" t="e">
        <f>AND('Prices &amp; References'!G37,"AAAAAG//e2A=")</f>
        <v>#VALUE!</v>
      </c>
      <c r="CT2" t="e">
        <f>AND('Prices &amp; References'!H37,"AAAAAG//e2E=")</f>
        <v>#VALUE!</v>
      </c>
      <c r="CU2">
        <f>IF('Prices &amp; References'!38:38,"AAAAAG//e2I=",0)</f>
        <v>0</v>
      </c>
      <c r="CV2" t="e">
        <f>AND('Prices &amp; References'!A38,"AAAAAG//e2M=")</f>
        <v>#VALUE!</v>
      </c>
      <c r="CW2" t="e">
        <f>AND('Prices &amp; References'!B38,"AAAAAG//e2Q=")</f>
        <v>#VALUE!</v>
      </c>
      <c r="CX2" t="e">
        <f>AND('Prices &amp; References'!C38,"AAAAAG//e2U=")</f>
        <v>#VALUE!</v>
      </c>
      <c r="CY2" t="e">
        <f>AND('Prices &amp; References'!D38,"AAAAAG//e2Y=")</f>
        <v>#VALUE!</v>
      </c>
      <c r="CZ2" t="e">
        <f>AND('Prices &amp; References'!E38,"AAAAAG//e2c=")</f>
        <v>#VALUE!</v>
      </c>
      <c r="DA2" t="e">
        <f>AND('Prices &amp; References'!F38,"AAAAAG//e2g=")</f>
        <v>#VALUE!</v>
      </c>
      <c r="DB2" t="e">
        <f>AND('Prices &amp; References'!G38,"AAAAAG//e2k=")</f>
        <v>#VALUE!</v>
      </c>
      <c r="DC2" t="e">
        <f>AND('Prices &amp; References'!H38,"AAAAAG//e2o=")</f>
        <v>#VALUE!</v>
      </c>
      <c r="DD2">
        <f>IF('Prices &amp; References'!39:39,"AAAAAG//e2s=",0)</f>
        <v>0</v>
      </c>
      <c r="DE2" t="e">
        <f>AND('Prices &amp; References'!A39,"AAAAAG//e2w=")</f>
        <v>#VALUE!</v>
      </c>
      <c r="DF2" t="e">
        <f>AND('Prices &amp; References'!B39,"AAAAAG//e20=")</f>
        <v>#VALUE!</v>
      </c>
      <c r="DG2" t="e">
        <f>AND('Prices &amp; References'!C39,"AAAAAG//e24=")</f>
        <v>#VALUE!</v>
      </c>
      <c r="DH2" t="e">
        <f>AND('Prices &amp; References'!D39,"AAAAAG//e28=")</f>
        <v>#VALUE!</v>
      </c>
      <c r="DI2" t="e">
        <f>AND('Prices &amp; References'!E39,"AAAAAG//e3A=")</f>
        <v>#VALUE!</v>
      </c>
      <c r="DJ2" t="e">
        <f>AND('Prices &amp; References'!F39,"AAAAAG//e3E=")</f>
        <v>#VALUE!</v>
      </c>
      <c r="DK2" t="e">
        <f>AND('Prices &amp; References'!G39,"AAAAAG//e3I=")</f>
        <v>#VALUE!</v>
      </c>
      <c r="DL2" t="e">
        <f>AND('Prices &amp; References'!H39,"AAAAAG//e3M=")</f>
        <v>#VALUE!</v>
      </c>
      <c r="DM2">
        <f>IF('Prices &amp; References'!40:40,"AAAAAG//e3Q=",0)</f>
        <v>0</v>
      </c>
      <c r="DN2" t="e">
        <f>AND('Prices &amp; References'!A40,"AAAAAG//e3U=")</f>
        <v>#VALUE!</v>
      </c>
      <c r="DO2" t="e">
        <f>AND('Prices &amp; References'!B40,"AAAAAG//e3Y=")</f>
        <v>#VALUE!</v>
      </c>
      <c r="DP2" t="e">
        <f>AND('Prices &amp; References'!C40,"AAAAAG//e3c=")</f>
        <v>#VALUE!</v>
      </c>
      <c r="DQ2" t="e">
        <f>AND('Prices &amp; References'!D40,"AAAAAG//e3g=")</f>
        <v>#VALUE!</v>
      </c>
      <c r="DR2" t="e">
        <f>AND('Prices &amp; References'!E40,"AAAAAG//e3k=")</f>
        <v>#VALUE!</v>
      </c>
      <c r="DS2" t="e">
        <f>AND('Prices &amp; References'!F40,"AAAAAG//e3o=")</f>
        <v>#VALUE!</v>
      </c>
      <c r="DT2" t="e">
        <f>AND('Prices &amp; References'!G40,"AAAAAG//e3s=")</f>
        <v>#VALUE!</v>
      </c>
      <c r="DU2" t="e">
        <f>AND('Prices &amp; References'!H40,"AAAAAG//e3w=")</f>
        <v>#VALUE!</v>
      </c>
      <c r="DV2">
        <f>IF('Prices &amp; References'!41:41,"AAAAAG//e30=",0)</f>
        <v>0</v>
      </c>
      <c r="DW2" t="e">
        <f>AND('Prices &amp; References'!A41,"AAAAAG//e34=")</f>
        <v>#VALUE!</v>
      </c>
      <c r="DX2" t="e">
        <f>AND('Prices &amp; References'!B41,"AAAAAG//e38=")</f>
        <v>#VALUE!</v>
      </c>
      <c r="DY2" t="e">
        <f>AND('Prices &amp; References'!C41,"AAAAAG//e4A=")</f>
        <v>#VALUE!</v>
      </c>
      <c r="DZ2" t="e">
        <f>AND('Prices &amp; References'!D41,"AAAAAG//e4E=")</f>
        <v>#VALUE!</v>
      </c>
      <c r="EA2" t="e">
        <f>AND('Prices &amp; References'!E41,"AAAAAG//e4I=")</f>
        <v>#VALUE!</v>
      </c>
      <c r="EB2" t="e">
        <f>AND('Prices &amp; References'!F41,"AAAAAG//e4M=")</f>
        <v>#VALUE!</v>
      </c>
      <c r="EC2" t="e">
        <f>AND('Prices &amp; References'!G41,"AAAAAG//e4Q=")</f>
        <v>#VALUE!</v>
      </c>
      <c r="ED2" t="e">
        <f>AND('Prices &amp; References'!H41,"AAAAAG//e4U=")</f>
        <v>#VALUE!</v>
      </c>
      <c r="EE2">
        <f>IF('Prices &amp; References'!42:42,"AAAAAG//e4Y=",0)</f>
        <v>0</v>
      </c>
      <c r="EF2" t="e">
        <f>AND('Prices &amp; References'!A42,"AAAAAG//e4c=")</f>
        <v>#VALUE!</v>
      </c>
      <c r="EG2" t="e">
        <f>AND('Prices &amp; References'!B42,"AAAAAG//e4g=")</f>
        <v>#VALUE!</v>
      </c>
      <c r="EH2" t="e">
        <f>AND('Prices &amp; References'!C42,"AAAAAG//e4k=")</f>
        <v>#VALUE!</v>
      </c>
      <c r="EI2" t="e">
        <f>AND('Prices &amp; References'!D42,"AAAAAG//e4o=")</f>
        <v>#VALUE!</v>
      </c>
      <c r="EJ2" t="e">
        <f>AND('Prices &amp; References'!E42,"AAAAAG//e4s=")</f>
        <v>#VALUE!</v>
      </c>
      <c r="EK2" t="e">
        <f>AND('Prices &amp; References'!F42,"AAAAAG//e4w=")</f>
        <v>#VALUE!</v>
      </c>
      <c r="EL2" t="e">
        <f>AND('Prices &amp; References'!G42,"AAAAAG//e40=")</f>
        <v>#VALUE!</v>
      </c>
      <c r="EM2" t="e">
        <f>AND('Prices &amp; References'!H42,"AAAAAG//e44=")</f>
        <v>#VALUE!</v>
      </c>
      <c r="EN2">
        <f>IF('Prices &amp; References'!43:43,"AAAAAG//e48=",0)</f>
        <v>0</v>
      </c>
      <c r="EO2" t="e">
        <f>AND('Prices &amp; References'!A43,"AAAAAG//e5A=")</f>
        <v>#VALUE!</v>
      </c>
      <c r="EP2" t="e">
        <f>AND('Prices &amp; References'!B43,"AAAAAG//e5E=")</f>
        <v>#VALUE!</v>
      </c>
      <c r="EQ2" t="e">
        <f>AND('Prices &amp; References'!C43,"AAAAAG//e5I=")</f>
        <v>#VALUE!</v>
      </c>
      <c r="ER2" t="e">
        <f>AND('Prices &amp; References'!D43,"AAAAAG//e5M=")</f>
        <v>#VALUE!</v>
      </c>
      <c r="ES2" t="e">
        <f>AND('Prices &amp; References'!E43,"AAAAAG//e5Q=")</f>
        <v>#VALUE!</v>
      </c>
      <c r="ET2" t="e">
        <f>AND('Prices &amp; References'!F43,"AAAAAG//e5U=")</f>
        <v>#VALUE!</v>
      </c>
      <c r="EU2" t="e">
        <f>AND('Prices &amp; References'!G43,"AAAAAG//e5Y=")</f>
        <v>#VALUE!</v>
      </c>
      <c r="EV2" t="e">
        <f>AND('Prices &amp; References'!H43,"AAAAAG//e5c=")</f>
        <v>#VALUE!</v>
      </c>
      <c r="EW2">
        <f>IF('Prices &amp; References'!44:44,"AAAAAG//e5g=",0)</f>
        <v>0</v>
      </c>
      <c r="EX2" t="e">
        <f>AND('Prices &amp; References'!A44,"AAAAAG//e5k=")</f>
        <v>#VALUE!</v>
      </c>
      <c r="EY2" t="e">
        <f>AND('Prices &amp; References'!B44,"AAAAAG//e5o=")</f>
        <v>#VALUE!</v>
      </c>
      <c r="EZ2" t="e">
        <f>AND('Prices &amp; References'!C44,"AAAAAG//e5s=")</f>
        <v>#VALUE!</v>
      </c>
      <c r="FA2" t="e">
        <f>AND('Prices &amp; References'!D44,"AAAAAG//e5w=")</f>
        <v>#VALUE!</v>
      </c>
      <c r="FB2" t="e">
        <f>AND('Prices &amp; References'!E44,"AAAAAG//e50=")</f>
        <v>#VALUE!</v>
      </c>
      <c r="FC2" t="e">
        <f>AND('Prices &amp; References'!F44,"AAAAAG//e54=")</f>
        <v>#VALUE!</v>
      </c>
      <c r="FD2" t="e">
        <f>AND('Prices &amp; References'!G44,"AAAAAG//e58=")</f>
        <v>#VALUE!</v>
      </c>
      <c r="FE2" t="e">
        <f>AND('Prices &amp; References'!H44,"AAAAAG//e6A=")</f>
        <v>#VALUE!</v>
      </c>
      <c r="FF2">
        <f>IF('Prices &amp; References'!45:45,"AAAAAG//e6E=",0)</f>
        <v>0</v>
      </c>
      <c r="FG2" t="e">
        <f>AND('Prices &amp; References'!A45,"AAAAAG//e6I=")</f>
        <v>#VALUE!</v>
      </c>
      <c r="FH2" t="e">
        <f>AND('Prices &amp; References'!B45,"AAAAAG//e6M=")</f>
        <v>#VALUE!</v>
      </c>
      <c r="FI2" t="e">
        <f>AND('Prices &amp; References'!C45,"AAAAAG//e6Q=")</f>
        <v>#VALUE!</v>
      </c>
      <c r="FJ2" t="e">
        <f>AND('Prices &amp; References'!D45,"AAAAAG//e6U=")</f>
        <v>#VALUE!</v>
      </c>
      <c r="FK2" t="e">
        <f>AND('Prices &amp; References'!E45,"AAAAAG//e6Y=")</f>
        <v>#VALUE!</v>
      </c>
      <c r="FL2" t="e">
        <f>AND('Prices &amp; References'!F45,"AAAAAG//e6c=")</f>
        <v>#VALUE!</v>
      </c>
      <c r="FM2" t="e">
        <f>AND('Prices &amp; References'!G45,"AAAAAG//e6g=")</f>
        <v>#VALUE!</v>
      </c>
      <c r="FN2" t="e">
        <f>AND('Prices &amp; References'!H45,"AAAAAG//e6k=")</f>
        <v>#VALUE!</v>
      </c>
      <c r="FO2">
        <f>IF('Prices &amp; References'!46:46,"AAAAAG//e6o=",0)</f>
        <v>0</v>
      </c>
      <c r="FP2" t="e">
        <f>AND('Prices &amp; References'!A46,"AAAAAG//e6s=")</f>
        <v>#VALUE!</v>
      </c>
      <c r="FQ2" t="e">
        <f>AND('Prices &amp; References'!B46,"AAAAAG//e6w=")</f>
        <v>#VALUE!</v>
      </c>
      <c r="FR2" t="e">
        <f>AND('Prices &amp; References'!C46,"AAAAAG//e60=")</f>
        <v>#VALUE!</v>
      </c>
      <c r="FS2" t="e">
        <f>AND('Prices &amp; References'!D46,"AAAAAG//e64=")</f>
        <v>#VALUE!</v>
      </c>
      <c r="FT2" t="e">
        <f>AND('Prices &amp; References'!E46,"AAAAAG//e68=")</f>
        <v>#VALUE!</v>
      </c>
      <c r="FU2" t="e">
        <f>AND('Prices &amp; References'!F46,"AAAAAG//e7A=")</f>
        <v>#VALUE!</v>
      </c>
      <c r="FV2" t="e">
        <f>AND('Prices &amp; References'!G46,"AAAAAG//e7E=")</f>
        <v>#VALUE!</v>
      </c>
      <c r="FW2" t="e">
        <f>AND('Prices &amp; References'!H46,"AAAAAG//e7I=")</f>
        <v>#VALUE!</v>
      </c>
      <c r="FX2">
        <f>IF('Prices &amp; References'!47:47,"AAAAAG//e7M=",0)</f>
        <v>0</v>
      </c>
      <c r="FY2" t="e">
        <f>AND('Prices &amp; References'!A47,"AAAAAG//e7Q=")</f>
        <v>#VALUE!</v>
      </c>
      <c r="FZ2" t="e">
        <f>AND('Prices &amp; References'!B47,"AAAAAG//e7U=")</f>
        <v>#VALUE!</v>
      </c>
      <c r="GA2" t="e">
        <f>AND('Prices &amp; References'!C47,"AAAAAG//e7Y=")</f>
        <v>#VALUE!</v>
      </c>
      <c r="GB2" t="e">
        <f>AND('Prices &amp; References'!D47,"AAAAAG//e7c=")</f>
        <v>#VALUE!</v>
      </c>
      <c r="GC2" t="e">
        <f>AND('Prices &amp; References'!E47,"AAAAAG//e7g=")</f>
        <v>#VALUE!</v>
      </c>
      <c r="GD2" t="e">
        <f>AND('Prices &amp; References'!F47,"AAAAAG//e7k=")</f>
        <v>#VALUE!</v>
      </c>
      <c r="GE2" t="e">
        <f>AND('Prices &amp; References'!G47,"AAAAAG//e7o=")</f>
        <v>#VALUE!</v>
      </c>
      <c r="GF2" t="e">
        <f>AND('Prices &amp; References'!H47,"AAAAAG//e7s=")</f>
        <v>#VALUE!</v>
      </c>
      <c r="GG2">
        <f>IF('Prices &amp; References'!48:48,"AAAAAG//e7w=",0)</f>
        <v>0</v>
      </c>
      <c r="GH2" t="e">
        <f>AND('Prices &amp; References'!A48,"AAAAAG//e70=")</f>
        <v>#VALUE!</v>
      </c>
      <c r="GI2" t="e">
        <f>AND('Prices &amp; References'!B48,"AAAAAG//e74=")</f>
        <v>#VALUE!</v>
      </c>
      <c r="GJ2" t="e">
        <f>AND('Prices &amp; References'!C48,"AAAAAG//e78=")</f>
        <v>#VALUE!</v>
      </c>
      <c r="GK2" t="e">
        <f>AND('Prices &amp; References'!D48,"AAAAAG//e8A=")</f>
        <v>#VALUE!</v>
      </c>
      <c r="GL2" t="e">
        <f>AND('Prices &amp; References'!E48,"AAAAAG//e8E=")</f>
        <v>#VALUE!</v>
      </c>
      <c r="GM2" t="e">
        <f>AND('Prices &amp; References'!F48,"AAAAAG//e8I=")</f>
        <v>#VALUE!</v>
      </c>
      <c r="GN2" t="e">
        <f>AND('Prices &amp; References'!G48,"AAAAAG//e8M=")</f>
        <v>#VALUE!</v>
      </c>
      <c r="GO2" t="e">
        <f>AND('Prices &amp; References'!H48,"AAAAAG//e8Q=")</f>
        <v>#VALUE!</v>
      </c>
      <c r="GP2">
        <f>IF('Prices &amp; References'!49:49,"AAAAAG//e8U=",0)</f>
        <v>0</v>
      </c>
      <c r="GQ2" t="e">
        <f>AND('Prices &amp; References'!A49,"AAAAAG//e8Y=")</f>
        <v>#VALUE!</v>
      </c>
      <c r="GR2" t="e">
        <f>AND('Prices &amp; References'!B49,"AAAAAG//e8c=")</f>
        <v>#VALUE!</v>
      </c>
      <c r="GS2" t="e">
        <f>AND('Prices &amp; References'!C49,"AAAAAG//e8g=")</f>
        <v>#VALUE!</v>
      </c>
      <c r="GT2" t="e">
        <f>AND('Prices &amp; References'!D49,"AAAAAG//e8k=")</f>
        <v>#VALUE!</v>
      </c>
      <c r="GU2" t="e">
        <f>AND('Prices &amp; References'!E49,"AAAAAG//e8o=")</f>
        <v>#VALUE!</v>
      </c>
      <c r="GV2" t="e">
        <f>AND('Prices &amp; References'!F49,"AAAAAG//e8s=")</f>
        <v>#VALUE!</v>
      </c>
      <c r="GW2" t="e">
        <f>AND('Prices &amp; References'!G49,"AAAAAG//e8w=")</f>
        <v>#VALUE!</v>
      </c>
      <c r="GX2" t="e">
        <f>AND('Prices &amp; References'!H49,"AAAAAG//e80=")</f>
        <v>#VALUE!</v>
      </c>
      <c r="GY2">
        <f>IF('Prices &amp; References'!50:50,"AAAAAG//e84=",0)</f>
        <v>0</v>
      </c>
      <c r="GZ2" t="e">
        <f>AND('Prices &amp; References'!A50,"AAAAAG//e88=")</f>
        <v>#VALUE!</v>
      </c>
      <c r="HA2" t="e">
        <f>AND('Prices &amp; References'!B50,"AAAAAG//e9A=")</f>
        <v>#VALUE!</v>
      </c>
      <c r="HB2" t="e">
        <f>AND('Prices &amp; References'!C50,"AAAAAG//e9E=")</f>
        <v>#VALUE!</v>
      </c>
      <c r="HC2" t="e">
        <f>AND('Prices &amp; References'!D50,"AAAAAG//e9I=")</f>
        <v>#VALUE!</v>
      </c>
      <c r="HD2" t="e">
        <f>AND('Prices &amp; References'!E50,"AAAAAG//e9M=")</f>
        <v>#VALUE!</v>
      </c>
      <c r="HE2" t="e">
        <f>AND('Prices &amp; References'!F50,"AAAAAG//e9Q=")</f>
        <v>#VALUE!</v>
      </c>
      <c r="HF2" t="e">
        <f>AND('Prices &amp; References'!G50,"AAAAAG//e9U=")</f>
        <v>#VALUE!</v>
      </c>
      <c r="HG2" t="e">
        <f>AND('Prices &amp; References'!H50,"AAAAAG//e9Y=")</f>
        <v>#VALUE!</v>
      </c>
      <c r="HH2">
        <f>IF('Prices &amp; References'!51:51,"AAAAAG//e9c=",0)</f>
        <v>0</v>
      </c>
      <c r="HI2" t="e">
        <f>AND('Prices &amp; References'!A51,"AAAAAG//e9g=")</f>
        <v>#VALUE!</v>
      </c>
      <c r="HJ2" t="e">
        <f>AND('Prices &amp; References'!B51,"AAAAAG//e9k=")</f>
        <v>#VALUE!</v>
      </c>
      <c r="HK2" t="e">
        <f>AND('Prices &amp; References'!C51,"AAAAAG//e9o=")</f>
        <v>#VALUE!</v>
      </c>
      <c r="HL2" t="e">
        <f>AND('Prices &amp; References'!D51,"AAAAAG//e9s=")</f>
        <v>#VALUE!</v>
      </c>
      <c r="HM2" t="e">
        <f>AND('Prices &amp; References'!E51,"AAAAAG//e9w=")</f>
        <v>#VALUE!</v>
      </c>
      <c r="HN2" t="e">
        <f>AND('Prices &amp; References'!F51,"AAAAAG//e90=")</f>
        <v>#VALUE!</v>
      </c>
      <c r="HO2" t="e">
        <f>AND('Prices &amp; References'!G51,"AAAAAG//e94=")</f>
        <v>#VALUE!</v>
      </c>
      <c r="HP2" t="e">
        <f>AND('Prices &amp; References'!H51,"AAAAAG//e98=")</f>
        <v>#VALUE!</v>
      </c>
      <c r="HQ2">
        <f>IF('Prices &amp; References'!52:52,"AAAAAG//e+A=",0)</f>
        <v>0</v>
      </c>
      <c r="HR2" t="e">
        <f>AND('Prices &amp; References'!A52,"AAAAAG//e+E=")</f>
        <v>#VALUE!</v>
      </c>
      <c r="HS2" t="e">
        <f>AND('Prices &amp; References'!B52,"AAAAAG//e+I=")</f>
        <v>#VALUE!</v>
      </c>
      <c r="HT2" t="e">
        <f>AND('Prices &amp; References'!C52,"AAAAAG//e+M=")</f>
        <v>#VALUE!</v>
      </c>
      <c r="HU2" t="e">
        <f>AND('Prices &amp; References'!D52,"AAAAAG//e+Q=")</f>
        <v>#VALUE!</v>
      </c>
      <c r="HV2" t="e">
        <f>AND('Prices &amp; References'!E52,"AAAAAG//e+U=")</f>
        <v>#VALUE!</v>
      </c>
      <c r="HW2" t="e">
        <f>AND('Prices &amp; References'!F52,"AAAAAG//e+Y=")</f>
        <v>#VALUE!</v>
      </c>
      <c r="HX2" t="e">
        <f>AND('Prices &amp; References'!G52,"AAAAAG//e+c=")</f>
        <v>#VALUE!</v>
      </c>
      <c r="HY2" t="e">
        <f>AND('Prices &amp; References'!H52,"AAAAAG//e+g=")</f>
        <v>#VALUE!</v>
      </c>
      <c r="HZ2">
        <f>IF('Prices &amp; References'!53:53,"AAAAAG//e+k=",0)</f>
        <v>0</v>
      </c>
      <c r="IA2" t="e">
        <f>AND('Prices &amp; References'!A53,"AAAAAG//e+o=")</f>
        <v>#VALUE!</v>
      </c>
      <c r="IB2" t="e">
        <f>AND('Prices &amp; References'!B53,"AAAAAG//e+s=")</f>
        <v>#VALUE!</v>
      </c>
      <c r="IC2" t="e">
        <f>AND('Prices &amp; References'!C53,"AAAAAG//e+w=")</f>
        <v>#VALUE!</v>
      </c>
      <c r="ID2" t="e">
        <f>AND('Prices &amp; References'!D53,"AAAAAG//e+0=")</f>
        <v>#VALUE!</v>
      </c>
      <c r="IE2" t="e">
        <f>AND('Prices &amp; References'!E53,"AAAAAG//e+4=")</f>
        <v>#VALUE!</v>
      </c>
      <c r="IF2" t="e">
        <f>AND('Prices &amp; References'!F53,"AAAAAG//e+8=")</f>
        <v>#VALUE!</v>
      </c>
      <c r="IG2" t="e">
        <f>AND('Prices &amp; References'!G53,"AAAAAG//e/A=")</f>
        <v>#VALUE!</v>
      </c>
      <c r="IH2" t="e">
        <f>AND('Prices &amp; References'!H53,"AAAAAG//e/E=")</f>
        <v>#VALUE!</v>
      </c>
      <c r="II2">
        <f>IF('Prices &amp; References'!54:54,"AAAAAG//e/I=",0)</f>
        <v>0</v>
      </c>
      <c r="IJ2" t="e">
        <f>AND('Prices &amp; References'!A54,"AAAAAG//e/M=")</f>
        <v>#VALUE!</v>
      </c>
      <c r="IK2" t="e">
        <f>AND('Prices &amp; References'!B54,"AAAAAG//e/Q=")</f>
        <v>#VALUE!</v>
      </c>
      <c r="IL2" t="e">
        <f>AND('Prices &amp; References'!C54,"AAAAAG//e/U=")</f>
        <v>#VALUE!</v>
      </c>
      <c r="IM2" t="e">
        <f>AND('Prices &amp; References'!D54,"AAAAAG//e/Y=")</f>
        <v>#VALUE!</v>
      </c>
      <c r="IN2" t="e">
        <f>AND('Prices &amp; References'!E54,"AAAAAG//e/c=")</f>
        <v>#VALUE!</v>
      </c>
      <c r="IO2" t="e">
        <f>AND('Prices &amp; References'!F54,"AAAAAG//e/g=")</f>
        <v>#VALUE!</v>
      </c>
      <c r="IP2" t="e">
        <f>AND('Prices &amp; References'!G54,"AAAAAG//e/k=")</f>
        <v>#VALUE!</v>
      </c>
      <c r="IQ2" t="e">
        <f>AND('Prices &amp; References'!H54,"AAAAAG//e/o=")</f>
        <v>#VALUE!</v>
      </c>
      <c r="IR2">
        <f>IF('Prices &amp; References'!55:55,"AAAAAG//e/s=",0)</f>
        <v>0</v>
      </c>
      <c r="IS2" t="e">
        <f>AND('Prices &amp; References'!A55,"AAAAAG//e/w=")</f>
        <v>#VALUE!</v>
      </c>
      <c r="IT2" t="e">
        <f>AND('Prices &amp; References'!B55,"AAAAAG//e/0=")</f>
        <v>#VALUE!</v>
      </c>
      <c r="IU2" t="e">
        <f>AND('Prices &amp; References'!C55,"AAAAAG//e/4=")</f>
        <v>#VALUE!</v>
      </c>
      <c r="IV2" t="e">
        <f>AND('Prices &amp; References'!D55,"AAAAAG//e/8=")</f>
        <v>#VALUE!</v>
      </c>
    </row>
    <row r="3" spans="1:256" x14ac:dyDescent="0.25">
      <c r="A3" t="e">
        <f>AND('Prices &amp; References'!E55,"AAAAAB++/QA=")</f>
        <v>#VALUE!</v>
      </c>
      <c r="B3" t="e">
        <f>AND('Prices &amp; References'!F55,"AAAAAB++/QE=")</f>
        <v>#VALUE!</v>
      </c>
      <c r="C3" t="e">
        <f>AND('Prices &amp; References'!G55,"AAAAAB++/QI=")</f>
        <v>#VALUE!</v>
      </c>
      <c r="D3" t="e">
        <f>AND('Prices &amp; References'!H55,"AAAAAB++/QM=")</f>
        <v>#VALUE!</v>
      </c>
      <c r="E3">
        <f>IF('Prices &amp; References'!56:56,"AAAAAB++/QQ=",0)</f>
        <v>0</v>
      </c>
      <c r="F3" t="e">
        <f>AND('Prices &amp; References'!A56,"AAAAAB++/QU=")</f>
        <v>#VALUE!</v>
      </c>
      <c r="G3" t="e">
        <f>AND('Prices &amp; References'!B56,"AAAAAB++/QY=")</f>
        <v>#VALUE!</v>
      </c>
      <c r="H3" t="e">
        <f>AND('Prices &amp; References'!C56,"AAAAAB++/Qc=")</f>
        <v>#VALUE!</v>
      </c>
      <c r="I3" t="e">
        <f>AND('Prices &amp; References'!D56,"AAAAAB++/Qg=")</f>
        <v>#VALUE!</v>
      </c>
      <c r="J3" t="e">
        <f>AND('Prices &amp; References'!E56,"AAAAAB++/Qk=")</f>
        <v>#VALUE!</v>
      </c>
      <c r="K3" t="e">
        <f>AND('Prices &amp; References'!F56,"AAAAAB++/Qo=")</f>
        <v>#VALUE!</v>
      </c>
      <c r="L3" t="e">
        <f>AND('Prices &amp; References'!G56,"AAAAAB++/Qs=")</f>
        <v>#VALUE!</v>
      </c>
      <c r="M3" t="e">
        <f>AND('Prices &amp; References'!H56,"AAAAAB++/Qw=")</f>
        <v>#VALUE!</v>
      </c>
      <c r="N3">
        <f>IF('Prices &amp; References'!57:57,"AAAAAB++/Q0=",0)</f>
        <v>0</v>
      </c>
      <c r="O3" t="e">
        <f>AND('Prices &amp; References'!A57,"AAAAAB++/Q4=")</f>
        <v>#VALUE!</v>
      </c>
      <c r="P3" t="e">
        <f>AND('Prices &amp; References'!B57,"AAAAAB++/Q8=")</f>
        <v>#VALUE!</v>
      </c>
      <c r="Q3" t="e">
        <f>AND('Prices &amp; References'!C57,"AAAAAB++/RA=")</f>
        <v>#VALUE!</v>
      </c>
      <c r="R3" t="e">
        <f>AND('Prices &amp; References'!D57,"AAAAAB++/RE=")</f>
        <v>#VALUE!</v>
      </c>
      <c r="S3" t="e">
        <f>AND('Prices &amp; References'!E57,"AAAAAB++/RI=")</f>
        <v>#VALUE!</v>
      </c>
      <c r="T3" t="e">
        <f>AND('Prices &amp; References'!F57,"AAAAAB++/RM=")</f>
        <v>#VALUE!</v>
      </c>
      <c r="U3" t="e">
        <f>AND('Prices &amp; References'!G57,"AAAAAB++/RQ=")</f>
        <v>#VALUE!</v>
      </c>
      <c r="V3" t="e">
        <f>AND('Prices &amp; References'!H57,"AAAAAB++/RU=")</f>
        <v>#VALUE!</v>
      </c>
      <c r="W3">
        <f>IF('Prices &amp; References'!58:58,"AAAAAB++/RY=",0)</f>
        <v>0</v>
      </c>
      <c r="X3" t="e">
        <f>AND('Prices &amp; References'!A58,"AAAAAB++/Rc=")</f>
        <v>#VALUE!</v>
      </c>
      <c r="Y3" t="e">
        <f>AND('Prices &amp; References'!B58,"AAAAAB++/Rg=")</f>
        <v>#VALUE!</v>
      </c>
      <c r="Z3" t="e">
        <f>AND('Prices &amp; References'!C58,"AAAAAB++/Rk=")</f>
        <v>#VALUE!</v>
      </c>
      <c r="AA3" t="e">
        <f>AND('Prices &amp; References'!D58,"AAAAAB++/Ro=")</f>
        <v>#VALUE!</v>
      </c>
      <c r="AB3" t="e">
        <f>AND('Prices &amp; References'!E58,"AAAAAB++/Rs=")</f>
        <v>#VALUE!</v>
      </c>
      <c r="AC3" t="e">
        <f>AND('Prices &amp; References'!F58,"AAAAAB++/Rw=")</f>
        <v>#VALUE!</v>
      </c>
      <c r="AD3" t="e">
        <f>AND('Prices &amp; References'!G58,"AAAAAB++/R0=")</f>
        <v>#VALUE!</v>
      </c>
      <c r="AE3" t="e">
        <f>AND('Prices &amp; References'!H58,"AAAAAB++/R4=")</f>
        <v>#VALUE!</v>
      </c>
      <c r="AF3">
        <f>IF('Prices &amp; References'!59:59,"AAAAAB++/R8=",0)</f>
        <v>0</v>
      </c>
      <c r="AG3" t="e">
        <f>AND('Prices &amp; References'!A59,"AAAAAB++/SA=")</f>
        <v>#VALUE!</v>
      </c>
      <c r="AH3" t="e">
        <f>AND('Prices &amp; References'!B59,"AAAAAB++/SE=")</f>
        <v>#VALUE!</v>
      </c>
      <c r="AI3" t="e">
        <f>AND('Prices &amp; References'!C59,"AAAAAB++/SI=")</f>
        <v>#VALUE!</v>
      </c>
      <c r="AJ3" t="e">
        <f>AND('Prices &amp; References'!D59,"AAAAAB++/SM=")</f>
        <v>#VALUE!</v>
      </c>
      <c r="AK3" t="e">
        <f>AND('Prices &amp; References'!E59,"AAAAAB++/SQ=")</f>
        <v>#VALUE!</v>
      </c>
      <c r="AL3" t="e">
        <f>AND('Prices &amp; References'!F59,"AAAAAB++/SU=")</f>
        <v>#VALUE!</v>
      </c>
      <c r="AM3" t="e">
        <f>AND('Prices &amp; References'!G59,"AAAAAB++/SY=")</f>
        <v>#VALUE!</v>
      </c>
      <c r="AN3" t="e">
        <f>AND('Prices &amp; References'!H59,"AAAAAB++/Sc=")</f>
        <v>#VALUE!</v>
      </c>
      <c r="AO3">
        <f>IF('Prices &amp; References'!60:60,"AAAAAB++/Sg=",0)</f>
        <v>0</v>
      </c>
      <c r="AP3" t="e">
        <f>AND('Prices &amp; References'!A60,"AAAAAB++/Sk=")</f>
        <v>#VALUE!</v>
      </c>
      <c r="AQ3" t="e">
        <f>AND('Prices &amp; References'!B60,"AAAAAB++/So=")</f>
        <v>#VALUE!</v>
      </c>
      <c r="AR3" t="e">
        <f>AND('Prices &amp; References'!C60,"AAAAAB++/Ss=")</f>
        <v>#VALUE!</v>
      </c>
      <c r="AS3" t="e">
        <f>AND('Prices &amp; References'!D60,"AAAAAB++/Sw=")</f>
        <v>#VALUE!</v>
      </c>
      <c r="AT3" t="e">
        <f>AND('Prices &amp; References'!E60,"AAAAAB++/S0=")</f>
        <v>#VALUE!</v>
      </c>
      <c r="AU3" t="e">
        <f>AND('Prices &amp; References'!F60,"AAAAAB++/S4=")</f>
        <v>#VALUE!</v>
      </c>
      <c r="AV3" t="e">
        <f>AND('Prices &amp; References'!G60,"AAAAAB++/S8=")</f>
        <v>#VALUE!</v>
      </c>
      <c r="AW3" t="e">
        <f>AND('Prices &amp; References'!H60,"AAAAAB++/TA=")</f>
        <v>#VALUE!</v>
      </c>
      <c r="AX3">
        <f>IF('Prices &amp; References'!61:61,"AAAAAB++/TE=",0)</f>
        <v>0</v>
      </c>
      <c r="AY3" t="e">
        <f>AND('Prices &amp; References'!A61,"AAAAAB++/TI=")</f>
        <v>#VALUE!</v>
      </c>
      <c r="AZ3" t="e">
        <f>AND('Prices &amp; References'!B61,"AAAAAB++/TM=")</f>
        <v>#VALUE!</v>
      </c>
      <c r="BA3" t="e">
        <f>AND('Prices &amp; References'!C61,"AAAAAB++/TQ=")</f>
        <v>#VALUE!</v>
      </c>
      <c r="BB3" t="e">
        <f>AND('Prices &amp; References'!D61,"AAAAAB++/TU=")</f>
        <v>#VALUE!</v>
      </c>
      <c r="BC3" t="e">
        <f>AND('Prices &amp; References'!E61,"AAAAAB++/TY=")</f>
        <v>#VALUE!</v>
      </c>
      <c r="BD3" t="e">
        <f>AND('Prices &amp; References'!F61,"AAAAAB++/Tc=")</f>
        <v>#VALUE!</v>
      </c>
      <c r="BE3" t="e">
        <f>AND('Prices &amp; References'!G61,"AAAAAB++/Tg=")</f>
        <v>#VALUE!</v>
      </c>
      <c r="BF3" t="e">
        <f>AND('Prices &amp; References'!H61,"AAAAAB++/Tk=")</f>
        <v>#VALUE!</v>
      </c>
      <c r="BG3">
        <f>IF('Prices &amp; References'!62:62,"AAAAAB++/To=",0)</f>
        <v>0</v>
      </c>
      <c r="BH3" t="e">
        <f>AND('Prices &amp; References'!A62,"AAAAAB++/Ts=")</f>
        <v>#VALUE!</v>
      </c>
      <c r="BI3" t="e">
        <f>AND('Prices &amp; References'!B62,"AAAAAB++/Tw=")</f>
        <v>#VALUE!</v>
      </c>
      <c r="BJ3" t="e">
        <f>AND('Prices &amp; References'!C62,"AAAAAB++/T0=")</f>
        <v>#VALUE!</v>
      </c>
      <c r="BK3" t="e">
        <f>AND('Prices &amp; References'!D62,"AAAAAB++/T4=")</f>
        <v>#VALUE!</v>
      </c>
      <c r="BL3" t="e">
        <f>AND('Prices &amp; References'!E62,"AAAAAB++/T8=")</f>
        <v>#VALUE!</v>
      </c>
      <c r="BM3" t="e">
        <f>AND('Prices &amp; References'!F62,"AAAAAB++/UA=")</f>
        <v>#VALUE!</v>
      </c>
      <c r="BN3" t="e">
        <f>AND('Prices &amp; References'!G62,"AAAAAB++/UE=")</f>
        <v>#VALUE!</v>
      </c>
      <c r="BO3" t="e">
        <f>AND('Prices &amp; References'!H62,"AAAAAB++/UI=")</f>
        <v>#VALUE!</v>
      </c>
      <c r="BP3">
        <f>IF('Prices &amp; References'!63:63,"AAAAAB++/UM=",0)</f>
        <v>0</v>
      </c>
      <c r="BQ3" t="e">
        <f>AND('Prices &amp; References'!A63,"AAAAAB++/UQ=")</f>
        <v>#VALUE!</v>
      </c>
      <c r="BR3" t="e">
        <f>AND('Prices &amp; References'!B63,"AAAAAB++/UU=")</f>
        <v>#VALUE!</v>
      </c>
      <c r="BS3" t="e">
        <f>AND('Prices &amp; References'!C63,"AAAAAB++/UY=")</f>
        <v>#VALUE!</v>
      </c>
      <c r="BT3" t="e">
        <f>AND('Prices &amp; References'!D63,"AAAAAB++/Uc=")</f>
        <v>#VALUE!</v>
      </c>
      <c r="BU3" t="e">
        <f>AND('Prices &amp; References'!E63,"AAAAAB++/Ug=")</f>
        <v>#VALUE!</v>
      </c>
      <c r="BV3" t="e">
        <f>AND('Prices &amp; References'!F63,"AAAAAB++/Uk=")</f>
        <v>#VALUE!</v>
      </c>
      <c r="BW3" t="e">
        <f>AND('Prices &amp; References'!G63,"AAAAAB++/Uo=")</f>
        <v>#VALUE!</v>
      </c>
      <c r="BX3" t="e">
        <f>AND('Prices &amp; References'!H63,"AAAAAB++/Us=")</f>
        <v>#VALUE!</v>
      </c>
      <c r="BY3">
        <f>IF('Prices &amp; References'!64:64,"AAAAAB++/Uw=",0)</f>
        <v>0</v>
      </c>
      <c r="BZ3" t="e">
        <f>AND('Prices &amp; References'!A64,"AAAAAB++/U0=")</f>
        <v>#VALUE!</v>
      </c>
      <c r="CA3" t="e">
        <f>AND('Prices &amp; References'!B64,"AAAAAB++/U4=")</f>
        <v>#VALUE!</v>
      </c>
      <c r="CB3" t="e">
        <f>AND('Prices &amp; References'!C64,"AAAAAB++/U8=")</f>
        <v>#VALUE!</v>
      </c>
      <c r="CC3" t="e">
        <f>AND('Prices &amp; References'!D64,"AAAAAB++/VA=")</f>
        <v>#VALUE!</v>
      </c>
      <c r="CD3" t="e">
        <f>AND('Prices &amp; References'!E64,"AAAAAB++/VE=")</f>
        <v>#VALUE!</v>
      </c>
      <c r="CE3" t="e">
        <f>AND('Prices &amp; References'!F64,"AAAAAB++/VI=")</f>
        <v>#VALUE!</v>
      </c>
      <c r="CF3" t="e">
        <f>AND('Prices &amp; References'!G64,"AAAAAB++/VM=")</f>
        <v>#VALUE!</v>
      </c>
      <c r="CG3" t="e">
        <f>AND('Prices &amp; References'!H64,"AAAAAB++/VQ=")</f>
        <v>#VALUE!</v>
      </c>
      <c r="CH3">
        <f>IF('Prices &amp; References'!65:65,"AAAAAB++/VU=",0)</f>
        <v>0</v>
      </c>
      <c r="CI3" t="e">
        <f>AND('Prices &amp; References'!A65,"AAAAAB++/VY=")</f>
        <v>#VALUE!</v>
      </c>
      <c r="CJ3" t="e">
        <f>AND('Prices &amp; References'!B65,"AAAAAB++/Vc=")</f>
        <v>#VALUE!</v>
      </c>
      <c r="CK3" t="e">
        <f>AND('Prices &amp; References'!C65,"AAAAAB++/Vg=")</f>
        <v>#VALUE!</v>
      </c>
      <c r="CL3" t="e">
        <f>AND('Prices &amp; References'!D65,"AAAAAB++/Vk=")</f>
        <v>#VALUE!</v>
      </c>
      <c r="CM3" t="e">
        <f>AND('Prices &amp; References'!E65,"AAAAAB++/Vo=")</f>
        <v>#VALUE!</v>
      </c>
      <c r="CN3" t="e">
        <f>AND('Prices &amp; References'!F65,"AAAAAB++/Vs=")</f>
        <v>#VALUE!</v>
      </c>
      <c r="CO3" t="e">
        <f>AND('Prices &amp; References'!G65,"AAAAAB++/Vw=")</f>
        <v>#VALUE!</v>
      </c>
      <c r="CP3" t="e">
        <f>AND('Prices &amp; References'!H65,"AAAAAB++/V0=")</f>
        <v>#VALUE!</v>
      </c>
      <c r="CQ3">
        <f>IF('Prices &amp; References'!66:66,"AAAAAB++/V4=",0)</f>
        <v>0</v>
      </c>
      <c r="CR3" t="e">
        <f>AND('Prices &amp; References'!A66,"AAAAAB++/V8=")</f>
        <v>#VALUE!</v>
      </c>
      <c r="CS3" t="e">
        <f>AND('Prices &amp; References'!B66,"AAAAAB++/WA=")</f>
        <v>#VALUE!</v>
      </c>
      <c r="CT3" t="e">
        <f>AND('Prices &amp; References'!C66,"AAAAAB++/WE=")</f>
        <v>#VALUE!</v>
      </c>
      <c r="CU3" t="e">
        <f>AND('Prices &amp; References'!D66,"AAAAAB++/WI=")</f>
        <v>#VALUE!</v>
      </c>
      <c r="CV3" t="e">
        <f>AND('Prices &amp; References'!E66,"AAAAAB++/WM=")</f>
        <v>#VALUE!</v>
      </c>
      <c r="CW3" t="e">
        <f>AND('Prices &amp; References'!F66,"AAAAAB++/WQ=")</f>
        <v>#VALUE!</v>
      </c>
      <c r="CX3" t="e">
        <f>AND('Prices &amp; References'!G66,"AAAAAB++/WU=")</f>
        <v>#VALUE!</v>
      </c>
      <c r="CY3" t="e">
        <f>AND('Prices &amp; References'!H66,"AAAAAB++/WY=")</f>
        <v>#VALUE!</v>
      </c>
      <c r="CZ3">
        <f>IF('Prices &amp; References'!67:67,"AAAAAB++/Wc=",0)</f>
        <v>0</v>
      </c>
      <c r="DA3" t="e">
        <f>AND('Prices &amp; References'!A67,"AAAAAB++/Wg=")</f>
        <v>#VALUE!</v>
      </c>
      <c r="DB3" t="e">
        <f>AND('Prices &amp; References'!B67,"AAAAAB++/Wk=")</f>
        <v>#VALUE!</v>
      </c>
      <c r="DC3" t="e">
        <f>AND('Prices &amp; References'!C67,"AAAAAB++/Wo=")</f>
        <v>#VALUE!</v>
      </c>
      <c r="DD3" t="e">
        <f>AND('Prices &amp; References'!D67,"AAAAAB++/Ws=")</f>
        <v>#VALUE!</v>
      </c>
      <c r="DE3" t="e">
        <f>AND('Prices &amp; References'!E67,"AAAAAB++/Ww=")</f>
        <v>#VALUE!</v>
      </c>
      <c r="DF3" t="e">
        <f>AND('Prices &amp; References'!F67,"AAAAAB++/W0=")</f>
        <v>#VALUE!</v>
      </c>
      <c r="DG3" t="e">
        <f>AND('Prices &amp; References'!G67,"AAAAAB++/W4=")</f>
        <v>#VALUE!</v>
      </c>
      <c r="DH3" t="e">
        <f>AND('Prices &amp; References'!H67,"AAAAAB++/W8=")</f>
        <v>#VALUE!</v>
      </c>
      <c r="DI3">
        <f>IF('Prices &amp; References'!68:68,"AAAAAB++/XA=",0)</f>
        <v>0</v>
      </c>
      <c r="DJ3" t="e">
        <f>AND('Prices &amp; References'!A68,"AAAAAB++/XE=")</f>
        <v>#VALUE!</v>
      </c>
      <c r="DK3" t="e">
        <f>AND('Prices &amp; References'!B68,"AAAAAB++/XI=")</f>
        <v>#VALUE!</v>
      </c>
      <c r="DL3" t="e">
        <f>AND('Prices &amp; References'!C68,"AAAAAB++/XM=")</f>
        <v>#VALUE!</v>
      </c>
      <c r="DM3" t="e">
        <f>AND('Prices &amp; References'!D68,"AAAAAB++/XQ=")</f>
        <v>#VALUE!</v>
      </c>
      <c r="DN3" t="e">
        <f>AND('Prices &amp; References'!E68,"AAAAAB++/XU=")</f>
        <v>#VALUE!</v>
      </c>
      <c r="DO3" t="e">
        <f>AND('Prices &amp; References'!F68,"AAAAAB++/XY=")</f>
        <v>#VALUE!</v>
      </c>
      <c r="DP3" t="e">
        <f>AND('Prices &amp; References'!G68,"AAAAAB++/Xc=")</f>
        <v>#VALUE!</v>
      </c>
      <c r="DQ3" t="e">
        <f>AND('Prices &amp; References'!H68,"AAAAAB++/Xg=")</f>
        <v>#VALUE!</v>
      </c>
      <c r="DR3">
        <f>IF('Prices &amp; References'!69:69,"AAAAAB++/Xk=",0)</f>
        <v>0</v>
      </c>
      <c r="DS3" t="e">
        <f>AND('Prices &amp; References'!A69,"AAAAAB++/Xo=")</f>
        <v>#VALUE!</v>
      </c>
      <c r="DT3" t="e">
        <f>AND('Prices &amp; References'!B69,"AAAAAB++/Xs=")</f>
        <v>#VALUE!</v>
      </c>
      <c r="DU3" t="e">
        <f>AND('Prices &amp; References'!C69,"AAAAAB++/Xw=")</f>
        <v>#VALUE!</v>
      </c>
      <c r="DV3" t="e">
        <f>AND('Prices &amp; References'!D69,"AAAAAB++/X0=")</f>
        <v>#VALUE!</v>
      </c>
      <c r="DW3" t="e">
        <f>AND('Prices &amp; References'!E69,"AAAAAB++/X4=")</f>
        <v>#VALUE!</v>
      </c>
      <c r="DX3" t="e">
        <f>AND('Prices &amp; References'!F69,"AAAAAB++/X8=")</f>
        <v>#VALUE!</v>
      </c>
      <c r="DY3" t="e">
        <f>AND('Prices &amp; References'!G69,"AAAAAB++/YA=")</f>
        <v>#VALUE!</v>
      </c>
      <c r="DZ3" t="e">
        <f>AND('Prices &amp; References'!H69,"AAAAAB++/YE=")</f>
        <v>#VALUE!</v>
      </c>
      <c r="EA3">
        <f>IF('Prices &amp; References'!70:70,"AAAAAB++/YI=",0)</f>
        <v>0</v>
      </c>
      <c r="EB3" t="e">
        <f>AND('Prices &amp; References'!A70,"AAAAAB++/YM=")</f>
        <v>#VALUE!</v>
      </c>
      <c r="EC3" t="e">
        <f>AND('Prices &amp; References'!B70,"AAAAAB++/YQ=")</f>
        <v>#VALUE!</v>
      </c>
      <c r="ED3" t="e">
        <f>AND('Prices &amp; References'!C70,"AAAAAB++/YU=")</f>
        <v>#VALUE!</v>
      </c>
      <c r="EE3" t="e">
        <f>AND('Prices &amp; References'!D70,"AAAAAB++/YY=")</f>
        <v>#VALUE!</v>
      </c>
      <c r="EF3" t="e">
        <f>AND('Prices &amp; References'!E70,"AAAAAB++/Yc=")</f>
        <v>#VALUE!</v>
      </c>
      <c r="EG3" t="e">
        <f>AND('Prices &amp; References'!F70,"AAAAAB++/Yg=")</f>
        <v>#VALUE!</v>
      </c>
      <c r="EH3" t="e">
        <f>AND('Prices &amp; References'!G70,"AAAAAB++/Yk=")</f>
        <v>#VALUE!</v>
      </c>
      <c r="EI3" t="e">
        <f>AND('Prices &amp; References'!H70,"AAAAAB++/Yo=")</f>
        <v>#VALUE!</v>
      </c>
      <c r="EJ3">
        <f>IF('Prices &amp; References'!71:71,"AAAAAB++/Ys=",0)</f>
        <v>0</v>
      </c>
      <c r="EK3" t="e">
        <f>AND('Prices &amp; References'!A71,"AAAAAB++/Yw=")</f>
        <v>#VALUE!</v>
      </c>
      <c r="EL3" t="e">
        <f>AND('Prices &amp; References'!B71,"AAAAAB++/Y0=")</f>
        <v>#VALUE!</v>
      </c>
      <c r="EM3" t="e">
        <f>AND('Prices &amp; References'!C71,"AAAAAB++/Y4=")</f>
        <v>#VALUE!</v>
      </c>
      <c r="EN3" t="e">
        <f>AND('Prices &amp; References'!D71,"AAAAAB++/Y8=")</f>
        <v>#VALUE!</v>
      </c>
      <c r="EO3" t="e">
        <f>AND('Prices &amp; References'!E71,"AAAAAB++/ZA=")</f>
        <v>#VALUE!</v>
      </c>
      <c r="EP3" t="e">
        <f>AND('Prices &amp; References'!F71,"AAAAAB++/ZE=")</f>
        <v>#VALUE!</v>
      </c>
      <c r="EQ3" t="e">
        <f>AND('Prices &amp; References'!G71,"AAAAAB++/ZI=")</f>
        <v>#VALUE!</v>
      </c>
      <c r="ER3" t="e">
        <f>AND('Prices &amp; References'!H71,"AAAAAB++/ZM=")</f>
        <v>#VALUE!</v>
      </c>
      <c r="ES3">
        <f>IF('Prices &amp; References'!72:72,"AAAAAB++/ZQ=",0)</f>
        <v>0</v>
      </c>
      <c r="ET3" t="e">
        <f>AND('Prices &amp; References'!A72,"AAAAAB++/ZU=")</f>
        <v>#VALUE!</v>
      </c>
      <c r="EU3" t="e">
        <f>AND('Prices &amp; References'!B72,"AAAAAB++/ZY=")</f>
        <v>#VALUE!</v>
      </c>
      <c r="EV3" t="e">
        <f>AND('Prices &amp; References'!C72,"AAAAAB++/Zc=")</f>
        <v>#VALUE!</v>
      </c>
      <c r="EW3" t="e">
        <f>AND('Prices &amp; References'!D72,"AAAAAB++/Zg=")</f>
        <v>#VALUE!</v>
      </c>
      <c r="EX3" t="e">
        <f>AND('Prices &amp; References'!E72,"AAAAAB++/Zk=")</f>
        <v>#VALUE!</v>
      </c>
      <c r="EY3" t="e">
        <f>AND('Prices &amp; References'!F72,"AAAAAB++/Zo=")</f>
        <v>#VALUE!</v>
      </c>
      <c r="EZ3" t="e">
        <f>AND('Prices &amp; References'!G72,"AAAAAB++/Zs=")</f>
        <v>#VALUE!</v>
      </c>
      <c r="FA3" t="e">
        <f>AND('Prices &amp; References'!H72,"AAAAAB++/Zw=")</f>
        <v>#VALUE!</v>
      </c>
      <c r="FB3">
        <f>IF('Prices &amp; References'!73:73,"AAAAAB++/Z0=",0)</f>
        <v>0</v>
      </c>
      <c r="FC3" t="e">
        <f>AND('Prices &amp; References'!A73,"AAAAAB++/Z4=")</f>
        <v>#VALUE!</v>
      </c>
      <c r="FD3" t="e">
        <f>AND('Prices &amp; References'!B73,"AAAAAB++/Z8=")</f>
        <v>#VALUE!</v>
      </c>
      <c r="FE3" t="e">
        <f>AND('Prices &amp; References'!C73,"AAAAAB++/aA=")</f>
        <v>#VALUE!</v>
      </c>
      <c r="FF3" t="e">
        <f>AND('Prices &amp; References'!D73,"AAAAAB++/aE=")</f>
        <v>#VALUE!</v>
      </c>
      <c r="FG3" t="e">
        <f>AND('Prices &amp; References'!E73,"AAAAAB++/aI=")</f>
        <v>#VALUE!</v>
      </c>
      <c r="FH3" t="e">
        <f>AND('Prices &amp; References'!F73,"AAAAAB++/aM=")</f>
        <v>#VALUE!</v>
      </c>
      <c r="FI3" t="e">
        <f>AND('Prices &amp; References'!G73,"AAAAAB++/aQ=")</f>
        <v>#VALUE!</v>
      </c>
      <c r="FJ3" t="e">
        <f>AND('Prices &amp; References'!H73,"AAAAAB++/aU=")</f>
        <v>#VALUE!</v>
      </c>
      <c r="FK3">
        <f>IF('Prices &amp; References'!74:74,"AAAAAB++/aY=",0)</f>
        <v>0</v>
      </c>
      <c r="FL3" t="e">
        <f>AND('Prices &amp; References'!A74,"AAAAAB++/ac=")</f>
        <v>#VALUE!</v>
      </c>
      <c r="FM3" t="e">
        <f>AND('Prices &amp; References'!B74,"AAAAAB++/ag=")</f>
        <v>#VALUE!</v>
      </c>
      <c r="FN3" t="e">
        <f>AND('Prices &amp; References'!C74,"AAAAAB++/ak=")</f>
        <v>#VALUE!</v>
      </c>
      <c r="FO3" t="e">
        <f>AND('Prices &amp; References'!D74,"AAAAAB++/ao=")</f>
        <v>#VALUE!</v>
      </c>
      <c r="FP3" t="e">
        <f>AND('Prices &amp; References'!E74,"AAAAAB++/as=")</f>
        <v>#VALUE!</v>
      </c>
      <c r="FQ3" t="e">
        <f>AND('Prices &amp; References'!F74,"AAAAAB++/aw=")</f>
        <v>#VALUE!</v>
      </c>
      <c r="FR3" t="e">
        <f>AND('Prices &amp; References'!G74,"AAAAAB++/a0=")</f>
        <v>#VALUE!</v>
      </c>
      <c r="FS3" t="e">
        <f>AND('Prices &amp; References'!H74,"AAAAAB++/a4=")</f>
        <v>#VALUE!</v>
      </c>
      <c r="FT3">
        <f>IF('Prices &amp; References'!75:75,"AAAAAB++/a8=",0)</f>
        <v>0</v>
      </c>
      <c r="FU3" t="e">
        <f>AND('Prices &amp; References'!A75,"AAAAAB++/bA=")</f>
        <v>#VALUE!</v>
      </c>
      <c r="FV3" t="e">
        <f>AND('Prices &amp; References'!B75,"AAAAAB++/bE=")</f>
        <v>#VALUE!</v>
      </c>
      <c r="FW3" t="e">
        <f>AND('Prices &amp; References'!C75,"AAAAAB++/bI=")</f>
        <v>#VALUE!</v>
      </c>
      <c r="FX3" t="e">
        <f>AND('Prices &amp; References'!D75,"AAAAAB++/bM=")</f>
        <v>#VALUE!</v>
      </c>
      <c r="FY3" t="e">
        <f>AND('Prices &amp; References'!E75,"AAAAAB++/bQ=")</f>
        <v>#VALUE!</v>
      </c>
      <c r="FZ3" t="e">
        <f>AND('Prices &amp; References'!F75,"AAAAAB++/bU=")</f>
        <v>#VALUE!</v>
      </c>
      <c r="GA3" t="e">
        <f>AND('Prices &amp; References'!G75,"AAAAAB++/bY=")</f>
        <v>#VALUE!</v>
      </c>
      <c r="GB3" t="e">
        <f>AND('Prices &amp; References'!H75,"AAAAAB++/bc=")</f>
        <v>#VALUE!</v>
      </c>
      <c r="GC3">
        <f>IF('Prices &amp; References'!76:76,"AAAAAB++/bg=",0)</f>
        <v>0</v>
      </c>
      <c r="GD3" t="e">
        <f>AND('Prices &amp; References'!A76,"AAAAAB++/bk=")</f>
        <v>#VALUE!</v>
      </c>
      <c r="GE3" t="e">
        <f>AND('Prices &amp; References'!B76,"AAAAAB++/bo=")</f>
        <v>#VALUE!</v>
      </c>
      <c r="GF3" t="e">
        <f>AND('Prices &amp; References'!C76,"AAAAAB++/bs=")</f>
        <v>#VALUE!</v>
      </c>
      <c r="GG3" t="e">
        <f>AND('Prices &amp; References'!D76,"AAAAAB++/bw=")</f>
        <v>#VALUE!</v>
      </c>
      <c r="GH3" t="e">
        <f>AND('Prices &amp; References'!E76,"AAAAAB++/b0=")</f>
        <v>#VALUE!</v>
      </c>
      <c r="GI3" t="e">
        <f>AND('Prices &amp; References'!F76,"AAAAAB++/b4=")</f>
        <v>#VALUE!</v>
      </c>
      <c r="GJ3" t="e">
        <f>AND('Prices &amp; References'!G76,"AAAAAB++/b8=")</f>
        <v>#VALUE!</v>
      </c>
      <c r="GK3" t="e">
        <f>AND('Prices &amp; References'!H76,"AAAAAB++/cA=")</f>
        <v>#VALUE!</v>
      </c>
      <c r="GL3">
        <f>IF('Prices &amp; References'!77:77,"AAAAAB++/cE=",0)</f>
        <v>0</v>
      </c>
      <c r="GM3" t="e">
        <f>AND('Prices &amp; References'!A77,"AAAAAB++/cI=")</f>
        <v>#VALUE!</v>
      </c>
      <c r="GN3" t="e">
        <f>AND('Prices &amp; References'!B77,"AAAAAB++/cM=")</f>
        <v>#VALUE!</v>
      </c>
      <c r="GO3" t="e">
        <f>AND('Prices &amp; References'!C77,"AAAAAB++/cQ=")</f>
        <v>#VALUE!</v>
      </c>
      <c r="GP3" t="e">
        <f>AND('Prices &amp; References'!D77,"AAAAAB++/cU=")</f>
        <v>#VALUE!</v>
      </c>
      <c r="GQ3" t="e">
        <f>AND('Prices &amp; References'!E77,"AAAAAB++/cY=")</f>
        <v>#VALUE!</v>
      </c>
      <c r="GR3" t="e">
        <f>AND('Prices &amp; References'!F77,"AAAAAB++/cc=")</f>
        <v>#VALUE!</v>
      </c>
      <c r="GS3" t="e">
        <f>AND('Prices &amp; References'!G77,"AAAAAB++/cg=")</f>
        <v>#VALUE!</v>
      </c>
      <c r="GT3" t="e">
        <f>AND('Prices &amp; References'!H77,"AAAAAB++/ck=")</f>
        <v>#VALUE!</v>
      </c>
      <c r="GU3">
        <f>IF('Prices &amp; References'!78:78,"AAAAAB++/co=",0)</f>
        <v>0</v>
      </c>
      <c r="GV3" t="e">
        <f>AND('Prices &amp; References'!A78,"AAAAAB++/cs=")</f>
        <v>#VALUE!</v>
      </c>
      <c r="GW3" t="e">
        <f>AND('Prices &amp; References'!B78,"AAAAAB++/cw=")</f>
        <v>#VALUE!</v>
      </c>
      <c r="GX3" t="e">
        <f>AND('Prices &amp; References'!C78,"AAAAAB++/c0=")</f>
        <v>#VALUE!</v>
      </c>
      <c r="GY3" t="e">
        <f>AND('Prices &amp; References'!D78,"AAAAAB++/c4=")</f>
        <v>#VALUE!</v>
      </c>
      <c r="GZ3" t="e">
        <f>AND('Prices &amp; References'!E78,"AAAAAB++/c8=")</f>
        <v>#VALUE!</v>
      </c>
      <c r="HA3" t="e">
        <f>AND('Prices &amp; References'!F78,"AAAAAB++/dA=")</f>
        <v>#VALUE!</v>
      </c>
      <c r="HB3" t="e">
        <f>AND('Prices &amp; References'!G78,"AAAAAB++/dE=")</f>
        <v>#VALUE!</v>
      </c>
      <c r="HC3" t="e">
        <f>AND('Prices &amp; References'!H78,"AAAAAB++/dI=")</f>
        <v>#VALUE!</v>
      </c>
      <c r="HD3">
        <f>IF('Prices &amp; References'!79:79,"AAAAAB++/dM=",0)</f>
        <v>0</v>
      </c>
      <c r="HE3" t="e">
        <f>AND('Prices &amp; References'!A79,"AAAAAB++/dQ=")</f>
        <v>#VALUE!</v>
      </c>
      <c r="HF3" t="e">
        <f>AND('Prices &amp; References'!B79,"AAAAAB++/dU=")</f>
        <v>#VALUE!</v>
      </c>
      <c r="HG3" t="e">
        <f>AND('Prices &amp; References'!C79,"AAAAAB++/dY=")</f>
        <v>#VALUE!</v>
      </c>
      <c r="HH3" t="e">
        <f>AND('Prices &amp; References'!D79,"AAAAAB++/dc=")</f>
        <v>#VALUE!</v>
      </c>
      <c r="HI3" t="e">
        <f>AND('Prices &amp; References'!E79,"AAAAAB++/dg=")</f>
        <v>#VALUE!</v>
      </c>
      <c r="HJ3" t="e">
        <f>AND('Prices &amp; References'!F79,"AAAAAB++/dk=")</f>
        <v>#VALUE!</v>
      </c>
      <c r="HK3" t="e">
        <f>AND('Prices &amp; References'!G79,"AAAAAB++/do=")</f>
        <v>#VALUE!</v>
      </c>
      <c r="HL3" t="e">
        <f>AND('Prices &amp; References'!H79,"AAAAAB++/ds=")</f>
        <v>#VALUE!</v>
      </c>
      <c r="HM3">
        <f>IF('Prices &amp; References'!80:80,"AAAAAB++/dw=",0)</f>
        <v>0</v>
      </c>
      <c r="HN3" t="e">
        <f>AND('Prices &amp; References'!A80,"AAAAAB++/d0=")</f>
        <v>#VALUE!</v>
      </c>
      <c r="HO3" t="e">
        <f>AND('Prices &amp; References'!B80,"AAAAAB++/d4=")</f>
        <v>#VALUE!</v>
      </c>
      <c r="HP3" t="e">
        <f>AND('Prices &amp; References'!C80,"AAAAAB++/d8=")</f>
        <v>#VALUE!</v>
      </c>
      <c r="HQ3" t="e">
        <f>AND('Prices &amp; References'!D80,"AAAAAB++/eA=")</f>
        <v>#VALUE!</v>
      </c>
      <c r="HR3" t="e">
        <f>AND('Prices &amp; References'!E80,"AAAAAB++/eE=")</f>
        <v>#VALUE!</v>
      </c>
      <c r="HS3" t="e">
        <f>AND('Prices &amp; References'!F80,"AAAAAB++/eI=")</f>
        <v>#VALUE!</v>
      </c>
      <c r="HT3" t="e">
        <f>AND('Prices &amp; References'!G80,"AAAAAB++/eM=")</f>
        <v>#VALUE!</v>
      </c>
      <c r="HU3" t="e">
        <f>AND('Prices &amp; References'!H80,"AAAAAB++/eQ=")</f>
        <v>#VALUE!</v>
      </c>
      <c r="HV3">
        <f>IF('Prices &amp; References'!81:81,"AAAAAB++/eU=",0)</f>
        <v>0</v>
      </c>
      <c r="HW3" t="e">
        <f>AND('Prices &amp; References'!A81,"AAAAAB++/eY=")</f>
        <v>#VALUE!</v>
      </c>
      <c r="HX3" t="e">
        <f>AND('Prices &amp; References'!B81,"AAAAAB++/ec=")</f>
        <v>#VALUE!</v>
      </c>
      <c r="HY3" t="e">
        <f>AND('Prices &amp; References'!C81,"AAAAAB++/eg=")</f>
        <v>#VALUE!</v>
      </c>
      <c r="HZ3" t="e">
        <f>AND('Prices &amp; References'!D81,"AAAAAB++/ek=")</f>
        <v>#VALUE!</v>
      </c>
      <c r="IA3" t="e">
        <f>AND('Prices &amp; References'!E81,"AAAAAB++/eo=")</f>
        <v>#VALUE!</v>
      </c>
      <c r="IB3" t="e">
        <f>AND('Prices &amp; References'!F81,"AAAAAB++/es=")</f>
        <v>#VALUE!</v>
      </c>
      <c r="IC3" t="e">
        <f>AND('Prices &amp; References'!G81,"AAAAAB++/ew=")</f>
        <v>#VALUE!</v>
      </c>
      <c r="ID3" t="e">
        <f>AND('Prices &amp; References'!H81,"AAAAAB++/e0=")</f>
        <v>#VALUE!</v>
      </c>
      <c r="IE3">
        <f>IF('Prices &amp; References'!82:82,"AAAAAB++/e4=",0)</f>
        <v>0</v>
      </c>
      <c r="IF3" t="e">
        <f>AND('Prices &amp; References'!A82,"AAAAAB++/e8=")</f>
        <v>#VALUE!</v>
      </c>
      <c r="IG3" t="e">
        <f>AND('Prices &amp; References'!B82,"AAAAAB++/fA=")</f>
        <v>#VALUE!</v>
      </c>
      <c r="IH3" t="e">
        <f>AND('Prices &amp; References'!C82,"AAAAAB++/fE=")</f>
        <v>#VALUE!</v>
      </c>
      <c r="II3" t="e">
        <f>AND('Prices &amp; References'!D82,"AAAAAB++/fI=")</f>
        <v>#VALUE!</v>
      </c>
      <c r="IJ3" t="e">
        <f>AND('Prices &amp; References'!E82,"AAAAAB++/fM=")</f>
        <v>#VALUE!</v>
      </c>
      <c r="IK3" t="e">
        <f>AND('Prices &amp; References'!F82,"AAAAAB++/fQ=")</f>
        <v>#VALUE!</v>
      </c>
      <c r="IL3" t="e">
        <f>AND('Prices &amp; References'!G82,"AAAAAB++/fU=")</f>
        <v>#VALUE!</v>
      </c>
      <c r="IM3" t="e">
        <f>AND('Prices &amp; References'!H82,"AAAAAB++/fY=")</f>
        <v>#VALUE!</v>
      </c>
      <c r="IN3">
        <f>IF('Prices &amp; References'!83:83,"AAAAAB++/fc=",0)</f>
        <v>0</v>
      </c>
      <c r="IO3" t="e">
        <f>AND('Prices &amp; References'!A83,"AAAAAB++/fg=")</f>
        <v>#VALUE!</v>
      </c>
      <c r="IP3" t="e">
        <f>AND('Prices &amp; References'!B83,"AAAAAB++/fk=")</f>
        <v>#VALUE!</v>
      </c>
      <c r="IQ3" t="e">
        <f>AND('Prices &amp; References'!C83,"AAAAAB++/fo=")</f>
        <v>#VALUE!</v>
      </c>
      <c r="IR3" t="e">
        <f>AND('Prices &amp; References'!D83,"AAAAAB++/fs=")</f>
        <v>#VALUE!</v>
      </c>
      <c r="IS3" t="e">
        <f>AND('Prices &amp; References'!E83,"AAAAAB++/fw=")</f>
        <v>#VALUE!</v>
      </c>
      <c r="IT3" t="e">
        <f>AND('Prices &amp; References'!F83,"AAAAAB++/f0=")</f>
        <v>#VALUE!</v>
      </c>
      <c r="IU3" t="e">
        <f>AND('Prices &amp; References'!G83,"AAAAAB++/f4=")</f>
        <v>#VALUE!</v>
      </c>
      <c r="IV3" t="e">
        <f>AND('Prices &amp; References'!H83,"AAAAAB++/f8=")</f>
        <v>#VALUE!</v>
      </c>
    </row>
    <row r="4" spans="1:256" x14ac:dyDescent="0.25">
      <c r="A4">
        <f>IF('Prices &amp; References'!84:84,"AAAAAHdnOAA=",0)</f>
        <v>0</v>
      </c>
      <c r="B4" t="e">
        <f>AND('Prices &amp; References'!A84,"AAAAAHdnOAE=")</f>
        <v>#VALUE!</v>
      </c>
      <c r="C4" t="e">
        <f>AND('Prices &amp; References'!B84,"AAAAAHdnOAI=")</f>
        <v>#VALUE!</v>
      </c>
      <c r="D4" t="e">
        <f>AND('Prices &amp; References'!C84,"AAAAAHdnOAM=")</f>
        <v>#VALUE!</v>
      </c>
      <c r="E4" t="e">
        <f>AND('Prices &amp; References'!D84,"AAAAAHdnOAQ=")</f>
        <v>#VALUE!</v>
      </c>
      <c r="F4" t="e">
        <f>AND('Prices &amp; References'!E84,"AAAAAHdnOAU=")</f>
        <v>#VALUE!</v>
      </c>
      <c r="G4" t="e">
        <f>AND('Prices &amp; References'!F84,"AAAAAHdnOAY=")</f>
        <v>#VALUE!</v>
      </c>
      <c r="H4" t="e">
        <f>AND('Prices &amp; References'!G84,"AAAAAHdnOAc=")</f>
        <v>#VALUE!</v>
      </c>
      <c r="I4" t="e">
        <f>AND('Prices &amp; References'!H84,"AAAAAHdnOAg=")</f>
        <v>#VALUE!</v>
      </c>
      <c r="J4">
        <f>IF('Prices &amp; References'!85:85,"AAAAAHdnOAk=",0)</f>
        <v>0</v>
      </c>
      <c r="K4" t="e">
        <f>AND('Prices &amp; References'!A85,"AAAAAHdnOAo=")</f>
        <v>#VALUE!</v>
      </c>
      <c r="L4" t="e">
        <f>AND('Prices &amp; References'!B85,"AAAAAHdnOAs=")</f>
        <v>#VALUE!</v>
      </c>
      <c r="M4" t="e">
        <f>AND('Prices &amp; References'!C85,"AAAAAHdnOAw=")</f>
        <v>#VALUE!</v>
      </c>
      <c r="N4" t="e">
        <f>AND('Prices &amp; References'!D85,"AAAAAHdnOA0=")</f>
        <v>#VALUE!</v>
      </c>
      <c r="O4" t="e">
        <f>AND('Prices &amp; References'!E85,"AAAAAHdnOA4=")</f>
        <v>#VALUE!</v>
      </c>
      <c r="P4" t="e">
        <f>AND('Prices &amp; References'!F85,"AAAAAHdnOA8=")</f>
        <v>#VALUE!</v>
      </c>
      <c r="Q4" t="e">
        <f>AND('Prices &amp; References'!G85,"AAAAAHdnOBA=")</f>
        <v>#VALUE!</v>
      </c>
      <c r="R4" t="e">
        <f>AND('Prices &amp; References'!H85,"AAAAAHdnOBE=")</f>
        <v>#VALUE!</v>
      </c>
      <c r="S4">
        <f>IF('Prices &amp; References'!86:86,"AAAAAHdnOBI=",0)</f>
        <v>0</v>
      </c>
      <c r="T4" t="e">
        <f>AND('Prices &amp; References'!A86,"AAAAAHdnOBM=")</f>
        <v>#VALUE!</v>
      </c>
      <c r="U4" t="e">
        <f>AND('Prices &amp; References'!B86,"AAAAAHdnOBQ=")</f>
        <v>#VALUE!</v>
      </c>
      <c r="V4" t="e">
        <f>AND('Prices &amp; References'!C86,"AAAAAHdnOBU=")</f>
        <v>#VALUE!</v>
      </c>
      <c r="W4" t="e">
        <f>AND('Prices &amp; References'!D86,"AAAAAHdnOBY=")</f>
        <v>#VALUE!</v>
      </c>
      <c r="X4" t="e">
        <f>AND('Prices &amp; References'!E86,"AAAAAHdnOBc=")</f>
        <v>#VALUE!</v>
      </c>
      <c r="Y4" t="e">
        <f>AND('Prices &amp; References'!F86,"AAAAAHdnOBg=")</f>
        <v>#VALUE!</v>
      </c>
      <c r="Z4" t="e">
        <f>AND('Prices &amp; References'!G86,"AAAAAHdnOBk=")</f>
        <v>#VALUE!</v>
      </c>
      <c r="AA4" t="e">
        <f>AND('Prices &amp; References'!H86,"AAAAAHdnOBo=")</f>
        <v>#VALUE!</v>
      </c>
      <c r="AB4">
        <f>IF('Prices &amp; References'!87:87,"AAAAAHdnOBs=",0)</f>
        <v>0</v>
      </c>
      <c r="AC4" t="e">
        <f>AND('Prices &amp; References'!A87,"AAAAAHdnOBw=")</f>
        <v>#VALUE!</v>
      </c>
      <c r="AD4" t="e">
        <f>AND('Prices &amp; References'!B87,"AAAAAHdnOB0=")</f>
        <v>#VALUE!</v>
      </c>
      <c r="AE4" t="e">
        <f>AND('Prices &amp; References'!C87,"AAAAAHdnOB4=")</f>
        <v>#VALUE!</v>
      </c>
      <c r="AF4" t="e">
        <f>AND('Prices &amp; References'!D87,"AAAAAHdnOB8=")</f>
        <v>#VALUE!</v>
      </c>
      <c r="AG4" t="e">
        <f>AND('Prices &amp; References'!E87,"AAAAAHdnOCA=")</f>
        <v>#VALUE!</v>
      </c>
      <c r="AH4" t="e">
        <f>AND('Prices &amp; References'!F87,"AAAAAHdnOCE=")</f>
        <v>#VALUE!</v>
      </c>
      <c r="AI4" t="e">
        <f>AND('Prices &amp; References'!G87,"AAAAAHdnOCI=")</f>
        <v>#VALUE!</v>
      </c>
      <c r="AJ4" t="e">
        <f>AND('Prices &amp; References'!H87,"AAAAAHdnOCM=")</f>
        <v>#VALUE!</v>
      </c>
      <c r="AK4">
        <f>IF('Prices &amp; References'!88:88,"AAAAAHdnOCQ=",0)</f>
        <v>0</v>
      </c>
      <c r="AL4" t="e">
        <f>AND('Prices &amp; References'!A88,"AAAAAHdnOCU=")</f>
        <v>#VALUE!</v>
      </c>
      <c r="AM4" t="e">
        <f>AND('Prices &amp; References'!B88,"AAAAAHdnOCY=")</f>
        <v>#VALUE!</v>
      </c>
      <c r="AN4" t="e">
        <f>AND('Prices &amp; References'!C88,"AAAAAHdnOCc=")</f>
        <v>#VALUE!</v>
      </c>
      <c r="AO4" t="e">
        <f>AND('Prices &amp; References'!D88,"AAAAAHdnOCg=")</f>
        <v>#VALUE!</v>
      </c>
      <c r="AP4" t="e">
        <f>AND('Prices &amp; References'!E88,"AAAAAHdnOCk=")</f>
        <v>#VALUE!</v>
      </c>
      <c r="AQ4" t="e">
        <f>AND('Prices &amp; References'!F88,"AAAAAHdnOCo=")</f>
        <v>#VALUE!</v>
      </c>
      <c r="AR4" t="e">
        <f>AND('Prices &amp; References'!G88,"AAAAAHdnOCs=")</f>
        <v>#VALUE!</v>
      </c>
      <c r="AS4" t="e">
        <f>AND('Prices &amp; References'!H88,"AAAAAHdnOCw=")</f>
        <v>#VALUE!</v>
      </c>
      <c r="AT4">
        <f>IF('Prices &amp; References'!89:89,"AAAAAHdnOC0=",0)</f>
        <v>0</v>
      </c>
      <c r="AU4" t="e">
        <f>AND('Prices &amp; References'!A89,"AAAAAHdnOC4=")</f>
        <v>#VALUE!</v>
      </c>
      <c r="AV4" t="e">
        <f>AND('Prices &amp; References'!B89,"AAAAAHdnOC8=")</f>
        <v>#VALUE!</v>
      </c>
      <c r="AW4" t="e">
        <f>AND('Prices &amp; References'!C89,"AAAAAHdnODA=")</f>
        <v>#VALUE!</v>
      </c>
      <c r="AX4" t="e">
        <f>AND('Prices &amp; References'!D89,"AAAAAHdnODE=")</f>
        <v>#VALUE!</v>
      </c>
      <c r="AY4" t="e">
        <f>AND('Prices &amp; References'!E89,"AAAAAHdnODI=")</f>
        <v>#VALUE!</v>
      </c>
      <c r="AZ4" t="e">
        <f>AND('Prices &amp; References'!F89,"AAAAAHdnODM=")</f>
        <v>#VALUE!</v>
      </c>
      <c r="BA4" t="e">
        <f>AND('Prices &amp; References'!G89,"AAAAAHdnODQ=")</f>
        <v>#VALUE!</v>
      </c>
      <c r="BB4" t="e">
        <f>AND('Prices &amp; References'!H89,"AAAAAHdnODU=")</f>
        <v>#VALUE!</v>
      </c>
      <c r="BC4">
        <f>IF('Prices &amp; References'!90:90,"AAAAAHdnODY=",0)</f>
        <v>0</v>
      </c>
      <c r="BD4" t="e">
        <f>AND('Prices &amp; References'!A90,"AAAAAHdnODc=")</f>
        <v>#VALUE!</v>
      </c>
      <c r="BE4" t="e">
        <f>AND('Prices &amp; References'!B90,"AAAAAHdnODg=")</f>
        <v>#VALUE!</v>
      </c>
      <c r="BF4" t="e">
        <f>AND('Prices &amp; References'!C90,"AAAAAHdnODk=")</f>
        <v>#VALUE!</v>
      </c>
      <c r="BG4" t="e">
        <f>AND('Prices &amp; References'!D90,"AAAAAHdnODo=")</f>
        <v>#VALUE!</v>
      </c>
      <c r="BH4" t="e">
        <f>AND('Prices &amp; References'!E90,"AAAAAHdnODs=")</f>
        <v>#VALUE!</v>
      </c>
      <c r="BI4" t="e">
        <f>AND('Prices &amp; References'!F90,"AAAAAHdnODw=")</f>
        <v>#VALUE!</v>
      </c>
      <c r="BJ4" t="e">
        <f>AND('Prices &amp; References'!G90,"AAAAAHdnOD0=")</f>
        <v>#VALUE!</v>
      </c>
      <c r="BK4" t="e">
        <f>AND('Prices &amp; References'!H90,"AAAAAHdnOD4=")</f>
        <v>#VALUE!</v>
      </c>
      <c r="BL4">
        <f>IF('Prices &amp; References'!91:91,"AAAAAHdnOD8=",0)</f>
        <v>0</v>
      </c>
      <c r="BM4" t="e">
        <f>AND('Prices &amp; References'!A91,"AAAAAHdnOEA=")</f>
        <v>#VALUE!</v>
      </c>
      <c r="BN4" t="e">
        <f>AND('Prices &amp; References'!B91,"AAAAAHdnOEE=")</f>
        <v>#VALUE!</v>
      </c>
      <c r="BO4" t="e">
        <f>AND('Prices &amp; References'!C91,"AAAAAHdnOEI=")</f>
        <v>#VALUE!</v>
      </c>
      <c r="BP4" t="e">
        <f>AND('Prices &amp; References'!D91,"AAAAAHdnOEM=")</f>
        <v>#VALUE!</v>
      </c>
      <c r="BQ4" t="e">
        <f>AND('Prices &amp; References'!E91,"AAAAAHdnOEQ=")</f>
        <v>#VALUE!</v>
      </c>
      <c r="BR4" t="e">
        <f>AND('Prices &amp; References'!F91,"AAAAAHdnOEU=")</f>
        <v>#VALUE!</v>
      </c>
      <c r="BS4" t="e">
        <f>AND('Prices &amp; References'!G91,"AAAAAHdnOEY=")</f>
        <v>#VALUE!</v>
      </c>
      <c r="BT4" t="e">
        <f>AND('Prices &amp; References'!H91,"AAAAAHdnOEc=")</f>
        <v>#VALUE!</v>
      </c>
      <c r="BU4">
        <f>IF('Prices &amp; References'!92:92,"AAAAAHdnOEg=",0)</f>
        <v>0</v>
      </c>
      <c r="BV4" t="e">
        <f>AND('Prices &amp; References'!A92,"AAAAAHdnOEk=")</f>
        <v>#VALUE!</v>
      </c>
      <c r="BW4" t="e">
        <f>AND('Prices &amp; References'!B92,"AAAAAHdnOEo=")</f>
        <v>#VALUE!</v>
      </c>
      <c r="BX4" t="e">
        <f>AND('Prices &amp; References'!C92,"AAAAAHdnOEs=")</f>
        <v>#VALUE!</v>
      </c>
      <c r="BY4" t="e">
        <f>AND('Prices &amp; References'!D92,"AAAAAHdnOEw=")</f>
        <v>#VALUE!</v>
      </c>
      <c r="BZ4" t="e">
        <f>AND('Prices &amp; References'!E92,"AAAAAHdnOE0=")</f>
        <v>#VALUE!</v>
      </c>
      <c r="CA4" t="e">
        <f>AND('Prices &amp; References'!F92,"AAAAAHdnOE4=")</f>
        <v>#VALUE!</v>
      </c>
      <c r="CB4" t="e">
        <f>AND('Prices &amp; References'!G92,"AAAAAHdnOE8=")</f>
        <v>#VALUE!</v>
      </c>
      <c r="CC4" t="e">
        <f>AND('Prices &amp; References'!H92,"AAAAAHdnOFA=")</f>
        <v>#VALUE!</v>
      </c>
      <c r="CD4">
        <f>IF('Prices &amp; References'!93:93,"AAAAAHdnOFE=",0)</f>
        <v>0</v>
      </c>
      <c r="CE4" t="e">
        <f>AND('Prices &amp; References'!A93,"AAAAAHdnOFI=")</f>
        <v>#VALUE!</v>
      </c>
      <c r="CF4" t="e">
        <f>AND('Prices &amp; References'!B93,"AAAAAHdnOFM=")</f>
        <v>#VALUE!</v>
      </c>
      <c r="CG4" t="e">
        <f>AND('Prices &amp; References'!C93,"AAAAAHdnOFQ=")</f>
        <v>#VALUE!</v>
      </c>
      <c r="CH4" t="e">
        <f>AND('Prices &amp; References'!D93,"AAAAAHdnOFU=")</f>
        <v>#VALUE!</v>
      </c>
      <c r="CI4" t="e">
        <f>AND('Prices &amp; References'!E93,"AAAAAHdnOFY=")</f>
        <v>#VALUE!</v>
      </c>
      <c r="CJ4" t="e">
        <f>AND('Prices &amp; References'!F93,"AAAAAHdnOFc=")</f>
        <v>#VALUE!</v>
      </c>
      <c r="CK4" t="e">
        <f>AND('Prices &amp; References'!G93,"AAAAAHdnOFg=")</f>
        <v>#VALUE!</v>
      </c>
      <c r="CL4" t="e">
        <f>AND('Prices &amp; References'!H93,"AAAAAHdnOFk=")</f>
        <v>#VALUE!</v>
      </c>
      <c r="CM4">
        <f>IF('Prices &amp; References'!A:A,"AAAAAHdnOFo=",0)</f>
        <v>0</v>
      </c>
      <c r="CN4" t="e">
        <f>IF('Prices &amp; References'!B:B,"AAAAAHdnOFs=",0)</f>
        <v>#VALUE!</v>
      </c>
      <c r="CO4" t="e">
        <f>IF('Prices &amp; References'!C:C,"AAAAAHdnOFw=",0)</f>
        <v>#VALUE!</v>
      </c>
      <c r="CP4" t="e">
        <f>IF('Prices &amp; References'!D:D,"AAAAAHdnOF0=",0)</f>
        <v>#VALUE!</v>
      </c>
      <c r="CQ4" t="e">
        <f>IF('Prices &amp; References'!E:E,"AAAAAHdnOF4=",0)</f>
        <v>#VALUE!</v>
      </c>
      <c r="CR4" t="e">
        <f>IF('Prices &amp; References'!F:F,"AAAAAHdnOF8=",0)</f>
        <v>#VALUE!</v>
      </c>
      <c r="CS4" t="e">
        <f>IF('Prices &amp; References'!G:G,"AAAAAHdnOGA=",0)</f>
        <v>#VALUE!</v>
      </c>
      <c r="CT4" t="e">
        <f>IF('Prices &amp; References'!H:H,"AAAAAHdnOGE=",0)</f>
        <v>#VALUE!</v>
      </c>
      <c r="CU4">
        <f>IF('Prices &amp; References'!I:I,"AAAAAHdnOGI=",0)</f>
        <v>0</v>
      </c>
      <c r="CV4">
        <f>IF('Normalized Values'!1:1,"AAAAAHdnOGM=",0)</f>
        <v>0</v>
      </c>
      <c r="CW4" t="e">
        <f>AND('Normalized Values'!A1,"AAAAAHdnOGQ=")</f>
        <v>#VALUE!</v>
      </c>
      <c r="CX4" t="e">
        <f>AND('Normalized Values'!B1,"AAAAAHdnOGU=")</f>
        <v>#VALUE!</v>
      </c>
      <c r="CY4" t="e">
        <f>AND('Normalized Values'!C1,"AAAAAHdnOGY=")</f>
        <v>#VALUE!</v>
      </c>
      <c r="CZ4" t="e">
        <f>AND('Normalized Values'!D1,"AAAAAHdnOGc=")</f>
        <v>#VALUE!</v>
      </c>
      <c r="DA4" t="e">
        <f>AND('Normalized Values'!E1,"AAAAAHdnOGg=")</f>
        <v>#VALUE!</v>
      </c>
      <c r="DB4" t="e">
        <f>AND('Normalized Values'!F1,"AAAAAHdnOGk=")</f>
        <v>#VALUE!</v>
      </c>
      <c r="DC4" t="e">
        <f>AND('Normalized Values'!G1,"AAAAAHdnOGo=")</f>
        <v>#VALUE!</v>
      </c>
      <c r="DD4" t="e">
        <f>AND('Normalized Values'!H1,"AAAAAHdnOGs=")</f>
        <v>#VALUE!</v>
      </c>
      <c r="DE4" t="e">
        <f>AND('Normalized Values'!I1,"AAAAAHdnOGw=")</f>
        <v>#VALUE!</v>
      </c>
      <c r="DF4">
        <f>IF('Normalized Values'!2:2,"AAAAAHdnOG0=",0)</f>
        <v>0</v>
      </c>
      <c r="DG4" t="e">
        <f>AND('Normalized Values'!A2,"AAAAAHdnOG4=")</f>
        <v>#VALUE!</v>
      </c>
      <c r="DH4" t="e">
        <f>AND('Normalized Values'!B2,"AAAAAHdnOG8=")</f>
        <v>#VALUE!</v>
      </c>
      <c r="DI4" t="e">
        <f>AND('Normalized Values'!C2,"AAAAAHdnOHA=")</f>
        <v>#VALUE!</v>
      </c>
      <c r="DJ4" t="e">
        <f>AND('Normalized Values'!D2,"AAAAAHdnOHE=")</f>
        <v>#VALUE!</v>
      </c>
      <c r="DK4" t="e">
        <f>AND('Normalized Values'!E2,"AAAAAHdnOHI=")</f>
        <v>#VALUE!</v>
      </c>
      <c r="DL4" t="e">
        <f>AND('Normalized Values'!F2,"AAAAAHdnOHM=")</f>
        <v>#VALUE!</v>
      </c>
      <c r="DM4" t="e">
        <f>AND('Normalized Values'!G2,"AAAAAHdnOHQ=")</f>
        <v>#VALUE!</v>
      </c>
      <c r="DN4" t="e">
        <f>AND('Normalized Values'!H2,"AAAAAHdnOHU=")</f>
        <v>#VALUE!</v>
      </c>
      <c r="DO4" t="e">
        <f>AND('Normalized Values'!I2,"AAAAAHdnOHY=")</f>
        <v>#VALUE!</v>
      </c>
      <c r="DP4">
        <f>IF('Normalized Values'!3:3,"AAAAAHdnOHc=",0)</f>
        <v>0</v>
      </c>
      <c r="DQ4" t="e">
        <f>AND('Normalized Values'!A3,"AAAAAHdnOHg=")</f>
        <v>#VALUE!</v>
      </c>
      <c r="DR4" t="e">
        <f>AND('Normalized Values'!B3,"AAAAAHdnOHk=")</f>
        <v>#VALUE!</v>
      </c>
      <c r="DS4" t="e">
        <f>AND('Normalized Values'!C3,"AAAAAHdnOHo=")</f>
        <v>#VALUE!</v>
      </c>
      <c r="DT4" t="e">
        <f>AND('Normalized Values'!D3,"AAAAAHdnOHs=")</f>
        <v>#VALUE!</v>
      </c>
      <c r="DU4" t="e">
        <f>AND('Normalized Values'!E3,"AAAAAHdnOHw=")</f>
        <v>#VALUE!</v>
      </c>
      <c r="DV4" t="e">
        <f>AND('Normalized Values'!F3,"AAAAAHdnOH0=")</f>
        <v>#VALUE!</v>
      </c>
      <c r="DW4" t="e">
        <f>AND('Normalized Values'!G3,"AAAAAHdnOH4=")</f>
        <v>#VALUE!</v>
      </c>
      <c r="DX4" t="e">
        <f>AND('Normalized Values'!H3,"AAAAAHdnOH8=")</f>
        <v>#VALUE!</v>
      </c>
      <c r="DY4" t="e">
        <f>AND('Normalized Values'!I3,"AAAAAHdnOIA=")</f>
        <v>#VALUE!</v>
      </c>
      <c r="DZ4">
        <f>IF('Normalized Values'!4:4,"AAAAAHdnOIE=",0)</f>
        <v>0</v>
      </c>
      <c r="EA4" t="e">
        <f>AND('Normalized Values'!A4,"AAAAAHdnOII=")</f>
        <v>#VALUE!</v>
      </c>
      <c r="EB4" t="e">
        <f>AND('Normalized Values'!B4,"AAAAAHdnOIM=")</f>
        <v>#VALUE!</v>
      </c>
      <c r="EC4" t="e">
        <f>AND('Normalized Values'!C4,"AAAAAHdnOIQ=")</f>
        <v>#VALUE!</v>
      </c>
      <c r="ED4" t="e">
        <f>AND('Normalized Values'!D4,"AAAAAHdnOIU=")</f>
        <v>#VALUE!</v>
      </c>
      <c r="EE4" t="e">
        <f>AND('Normalized Values'!E4,"AAAAAHdnOIY=")</f>
        <v>#VALUE!</v>
      </c>
      <c r="EF4" t="e">
        <f>AND('Normalized Values'!F4,"AAAAAHdnOIc=")</f>
        <v>#VALUE!</v>
      </c>
      <c r="EG4" t="e">
        <f>AND('Normalized Values'!G4,"AAAAAHdnOIg=")</f>
        <v>#VALUE!</v>
      </c>
      <c r="EH4" t="e">
        <f>AND('Normalized Values'!H4,"AAAAAHdnOIk=")</f>
        <v>#VALUE!</v>
      </c>
      <c r="EI4" t="e">
        <f>AND('Normalized Values'!I4,"AAAAAHdnOIo=")</f>
        <v>#VALUE!</v>
      </c>
      <c r="EJ4">
        <f>IF('Normalized Values'!5:5,"AAAAAHdnOIs=",0)</f>
        <v>0</v>
      </c>
      <c r="EK4" t="e">
        <f>AND('Normalized Values'!A5,"AAAAAHdnOIw=")</f>
        <v>#VALUE!</v>
      </c>
      <c r="EL4" t="e">
        <f>AND('Normalized Values'!B5,"AAAAAHdnOI0=")</f>
        <v>#VALUE!</v>
      </c>
      <c r="EM4" t="e">
        <f>AND('Normalized Values'!C5,"AAAAAHdnOI4=")</f>
        <v>#VALUE!</v>
      </c>
      <c r="EN4" t="e">
        <f>AND('Normalized Values'!D5,"AAAAAHdnOI8=")</f>
        <v>#VALUE!</v>
      </c>
      <c r="EO4" t="e">
        <f>AND('Normalized Values'!E5,"AAAAAHdnOJA=")</f>
        <v>#VALUE!</v>
      </c>
      <c r="EP4" t="e">
        <f>AND('Normalized Values'!F5,"AAAAAHdnOJE=")</f>
        <v>#VALUE!</v>
      </c>
      <c r="EQ4" t="e">
        <f>AND('Normalized Values'!G5,"AAAAAHdnOJI=")</f>
        <v>#VALUE!</v>
      </c>
      <c r="ER4" t="e">
        <f>AND('Normalized Values'!H5,"AAAAAHdnOJM=")</f>
        <v>#VALUE!</v>
      </c>
      <c r="ES4" t="e">
        <f>AND('Normalized Values'!I5,"AAAAAHdnOJQ=")</f>
        <v>#VALUE!</v>
      </c>
      <c r="ET4">
        <f>IF('Normalized Values'!6:6,"AAAAAHdnOJU=",0)</f>
        <v>0</v>
      </c>
      <c r="EU4" t="e">
        <f>AND('Normalized Values'!A6,"AAAAAHdnOJY=")</f>
        <v>#VALUE!</v>
      </c>
      <c r="EV4" t="e">
        <f>AND('Normalized Values'!B6,"AAAAAHdnOJc=")</f>
        <v>#VALUE!</v>
      </c>
      <c r="EW4" t="e">
        <f>AND('Normalized Values'!C6,"AAAAAHdnOJg=")</f>
        <v>#VALUE!</v>
      </c>
      <c r="EX4" t="e">
        <f>AND('Normalized Values'!D6,"AAAAAHdnOJk=")</f>
        <v>#VALUE!</v>
      </c>
      <c r="EY4" t="e">
        <f>AND('Normalized Values'!E6,"AAAAAHdnOJo=")</f>
        <v>#VALUE!</v>
      </c>
      <c r="EZ4" t="e">
        <f>AND('Normalized Values'!F6,"AAAAAHdnOJs=")</f>
        <v>#VALUE!</v>
      </c>
      <c r="FA4" t="e">
        <f>AND('Normalized Values'!G6,"AAAAAHdnOJw=")</f>
        <v>#VALUE!</v>
      </c>
      <c r="FB4" t="e">
        <f>AND('Normalized Values'!H6,"AAAAAHdnOJ0=")</f>
        <v>#VALUE!</v>
      </c>
      <c r="FC4" t="e">
        <f>AND('Normalized Values'!I6,"AAAAAHdnOJ4=")</f>
        <v>#VALUE!</v>
      </c>
      <c r="FD4">
        <f>IF('Normalized Values'!7:7,"AAAAAHdnOJ8=",0)</f>
        <v>0</v>
      </c>
      <c r="FE4" t="e">
        <f>AND('Normalized Values'!A7,"AAAAAHdnOKA=")</f>
        <v>#VALUE!</v>
      </c>
      <c r="FF4" t="e">
        <f>AND('Normalized Values'!B7,"AAAAAHdnOKE=")</f>
        <v>#VALUE!</v>
      </c>
      <c r="FG4" t="e">
        <f>AND('Normalized Values'!C7,"AAAAAHdnOKI=")</f>
        <v>#VALUE!</v>
      </c>
      <c r="FH4" t="e">
        <f>AND('Normalized Values'!D7,"AAAAAHdnOKM=")</f>
        <v>#VALUE!</v>
      </c>
      <c r="FI4" t="e">
        <f>AND('Normalized Values'!E7,"AAAAAHdnOKQ=")</f>
        <v>#VALUE!</v>
      </c>
      <c r="FJ4" t="e">
        <f>AND('Normalized Values'!F7,"AAAAAHdnOKU=")</f>
        <v>#VALUE!</v>
      </c>
      <c r="FK4" t="e">
        <f>AND('Normalized Values'!G7,"AAAAAHdnOKY=")</f>
        <v>#VALUE!</v>
      </c>
      <c r="FL4" t="e">
        <f>AND('Normalized Values'!H7,"AAAAAHdnOKc=")</f>
        <v>#VALUE!</v>
      </c>
      <c r="FM4" t="e">
        <f>AND('Normalized Values'!I7,"AAAAAHdnOKg=")</f>
        <v>#VALUE!</v>
      </c>
      <c r="FN4">
        <f>IF('Normalized Values'!8:8,"AAAAAHdnOKk=",0)</f>
        <v>0</v>
      </c>
      <c r="FO4" t="e">
        <f>AND('Normalized Values'!A8,"AAAAAHdnOKo=")</f>
        <v>#VALUE!</v>
      </c>
      <c r="FP4" t="e">
        <f>AND('Normalized Values'!B8,"AAAAAHdnOKs=")</f>
        <v>#VALUE!</v>
      </c>
      <c r="FQ4" t="e">
        <f>AND('Normalized Values'!C8,"AAAAAHdnOKw=")</f>
        <v>#VALUE!</v>
      </c>
      <c r="FR4" t="e">
        <f>AND('Normalized Values'!D8,"AAAAAHdnOK0=")</f>
        <v>#VALUE!</v>
      </c>
      <c r="FS4" t="e">
        <f>AND('Normalized Values'!E8,"AAAAAHdnOK4=")</f>
        <v>#VALUE!</v>
      </c>
      <c r="FT4" t="e">
        <f>AND('Normalized Values'!F8,"AAAAAHdnOK8=")</f>
        <v>#VALUE!</v>
      </c>
      <c r="FU4" t="e">
        <f>AND('Normalized Values'!G8,"AAAAAHdnOLA=")</f>
        <v>#VALUE!</v>
      </c>
      <c r="FV4" t="e">
        <f>AND('Normalized Values'!H8,"AAAAAHdnOLE=")</f>
        <v>#VALUE!</v>
      </c>
      <c r="FW4" t="e">
        <f>AND('Normalized Values'!I8,"AAAAAHdnOLI=")</f>
        <v>#VALUE!</v>
      </c>
      <c r="FX4">
        <f>IF('Normalized Values'!9:9,"AAAAAHdnOLM=",0)</f>
        <v>0</v>
      </c>
      <c r="FY4" t="e">
        <f>AND('Normalized Values'!A9,"AAAAAHdnOLQ=")</f>
        <v>#VALUE!</v>
      </c>
      <c r="FZ4" t="e">
        <f>AND('Normalized Values'!B9,"AAAAAHdnOLU=")</f>
        <v>#VALUE!</v>
      </c>
      <c r="GA4" t="e">
        <f>AND('Normalized Values'!C9,"AAAAAHdnOLY=")</f>
        <v>#VALUE!</v>
      </c>
      <c r="GB4" t="e">
        <f>AND('Normalized Values'!D9,"AAAAAHdnOLc=")</f>
        <v>#VALUE!</v>
      </c>
      <c r="GC4" t="e">
        <f>AND('Normalized Values'!E9,"AAAAAHdnOLg=")</f>
        <v>#VALUE!</v>
      </c>
      <c r="GD4" t="e">
        <f>AND('Normalized Values'!F9,"AAAAAHdnOLk=")</f>
        <v>#VALUE!</v>
      </c>
      <c r="GE4" t="e">
        <f>AND('Normalized Values'!G9,"AAAAAHdnOLo=")</f>
        <v>#VALUE!</v>
      </c>
      <c r="GF4" t="e">
        <f>AND('Normalized Values'!H9,"AAAAAHdnOLs=")</f>
        <v>#VALUE!</v>
      </c>
      <c r="GG4" t="e">
        <f>AND('Normalized Values'!I9,"AAAAAHdnOLw=")</f>
        <v>#VALUE!</v>
      </c>
      <c r="GH4">
        <f>IF('Normalized Values'!10:10,"AAAAAHdnOL0=",0)</f>
        <v>0</v>
      </c>
      <c r="GI4" t="e">
        <f>AND('Normalized Values'!A10,"AAAAAHdnOL4=")</f>
        <v>#VALUE!</v>
      </c>
      <c r="GJ4" t="e">
        <f>AND('Normalized Values'!B10,"AAAAAHdnOL8=")</f>
        <v>#VALUE!</v>
      </c>
      <c r="GK4" t="e">
        <f>AND('Normalized Values'!C10,"AAAAAHdnOMA=")</f>
        <v>#VALUE!</v>
      </c>
      <c r="GL4" t="e">
        <f>AND('Normalized Values'!D10,"AAAAAHdnOME=")</f>
        <v>#VALUE!</v>
      </c>
      <c r="GM4" t="e">
        <f>AND('Normalized Values'!E10,"AAAAAHdnOMI=")</f>
        <v>#VALUE!</v>
      </c>
      <c r="GN4" t="e">
        <f>AND('Normalized Values'!F10,"AAAAAHdnOMM=")</f>
        <v>#VALUE!</v>
      </c>
      <c r="GO4" t="e">
        <f>AND('Normalized Values'!G10,"AAAAAHdnOMQ=")</f>
        <v>#VALUE!</v>
      </c>
      <c r="GP4" t="e">
        <f>AND('Normalized Values'!H10,"AAAAAHdnOMU=")</f>
        <v>#VALUE!</v>
      </c>
      <c r="GQ4" t="e">
        <f>AND('Normalized Values'!I10,"AAAAAHdnOMY=")</f>
        <v>#VALUE!</v>
      </c>
      <c r="GR4">
        <f>IF('Normalized Values'!11:11,"AAAAAHdnOMc=",0)</f>
        <v>0</v>
      </c>
      <c r="GS4" t="e">
        <f>AND('Normalized Values'!A11,"AAAAAHdnOMg=")</f>
        <v>#VALUE!</v>
      </c>
      <c r="GT4" t="e">
        <f>AND('Normalized Values'!B11,"AAAAAHdnOMk=")</f>
        <v>#VALUE!</v>
      </c>
      <c r="GU4" t="e">
        <f>AND('Normalized Values'!C11,"AAAAAHdnOMo=")</f>
        <v>#VALUE!</v>
      </c>
      <c r="GV4" t="e">
        <f>AND('Normalized Values'!D11,"AAAAAHdnOMs=")</f>
        <v>#VALUE!</v>
      </c>
      <c r="GW4" t="e">
        <f>AND('Normalized Values'!E11,"AAAAAHdnOMw=")</f>
        <v>#VALUE!</v>
      </c>
      <c r="GX4" t="e">
        <f>AND('Normalized Values'!F11,"AAAAAHdnOM0=")</f>
        <v>#VALUE!</v>
      </c>
      <c r="GY4" t="e">
        <f>AND('Normalized Values'!G11,"AAAAAHdnOM4=")</f>
        <v>#VALUE!</v>
      </c>
      <c r="GZ4" t="e">
        <f>AND('Normalized Values'!H11,"AAAAAHdnOM8=")</f>
        <v>#VALUE!</v>
      </c>
      <c r="HA4" t="e">
        <f>AND('Normalized Values'!I11,"AAAAAHdnONA=")</f>
        <v>#VALUE!</v>
      </c>
      <c r="HB4">
        <f>IF('Normalized Values'!12:12,"AAAAAHdnONE=",0)</f>
        <v>0</v>
      </c>
      <c r="HC4" t="e">
        <f>AND('Normalized Values'!A12,"AAAAAHdnONI=")</f>
        <v>#VALUE!</v>
      </c>
      <c r="HD4" t="e">
        <f>AND('Normalized Values'!B12,"AAAAAHdnONM=")</f>
        <v>#VALUE!</v>
      </c>
      <c r="HE4" t="e">
        <f>AND('Normalized Values'!C12,"AAAAAHdnONQ=")</f>
        <v>#VALUE!</v>
      </c>
      <c r="HF4" t="e">
        <f>AND('Normalized Values'!D12,"AAAAAHdnONU=")</f>
        <v>#VALUE!</v>
      </c>
      <c r="HG4" t="e">
        <f>AND('Normalized Values'!E12,"AAAAAHdnONY=")</f>
        <v>#VALUE!</v>
      </c>
      <c r="HH4" t="e">
        <f>AND('Normalized Values'!F12,"AAAAAHdnONc=")</f>
        <v>#VALUE!</v>
      </c>
      <c r="HI4" t="e">
        <f>AND('Normalized Values'!G12,"AAAAAHdnONg=")</f>
        <v>#VALUE!</v>
      </c>
      <c r="HJ4" t="e">
        <f>AND('Normalized Values'!H12,"AAAAAHdnONk=")</f>
        <v>#VALUE!</v>
      </c>
      <c r="HK4" t="e">
        <f>AND('Normalized Values'!I12,"AAAAAHdnONo=")</f>
        <v>#VALUE!</v>
      </c>
      <c r="HL4">
        <f>IF('Normalized Values'!13:13,"AAAAAHdnONs=",0)</f>
        <v>0</v>
      </c>
      <c r="HM4" t="e">
        <f>AND('Normalized Values'!A13,"AAAAAHdnONw=")</f>
        <v>#VALUE!</v>
      </c>
      <c r="HN4" t="e">
        <f>AND('Normalized Values'!B13,"AAAAAHdnON0=")</f>
        <v>#VALUE!</v>
      </c>
      <c r="HO4" t="e">
        <f>AND('Normalized Values'!C13,"AAAAAHdnON4=")</f>
        <v>#VALUE!</v>
      </c>
      <c r="HP4" t="e">
        <f>AND('Normalized Values'!D13,"AAAAAHdnON8=")</f>
        <v>#VALUE!</v>
      </c>
      <c r="HQ4" t="e">
        <f>AND('Normalized Values'!E13,"AAAAAHdnOOA=")</f>
        <v>#VALUE!</v>
      </c>
      <c r="HR4" t="e">
        <f>AND('Normalized Values'!F13,"AAAAAHdnOOE=")</f>
        <v>#VALUE!</v>
      </c>
      <c r="HS4" t="e">
        <f>AND('Normalized Values'!G13,"AAAAAHdnOOI=")</f>
        <v>#VALUE!</v>
      </c>
      <c r="HT4" t="e">
        <f>AND('Normalized Values'!H13,"AAAAAHdnOOM=")</f>
        <v>#VALUE!</v>
      </c>
      <c r="HU4" t="e">
        <f>AND('Normalized Values'!I13,"AAAAAHdnOOQ=")</f>
        <v>#VALUE!</v>
      </c>
      <c r="HV4">
        <f>IF('Normalized Values'!14:14,"AAAAAHdnOOU=",0)</f>
        <v>0</v>
      </c>
      <c r="HW4" t="e">
        <f>AND('Normalized Values'!A14,"AAAAAHdnOOY=")</f>
        <v>#VALUE!</v>
      </c>
      <c r="HX4" t="e">
        <f>AND('Normalized Values'!B14,"AAAAAHdnOOc=")</f>
        <v>#VALUE!</v>
      </c>
      <c r="HY4" t="e">
        <f>AND('Normalized Values'!C14,"AAAAAHdnOOg=")</f>
        <v>#VALUE!</v>
      </c>
      <c r="HZ4" t="e">
        <f>AND('Normalized Values'!D14,"AAAAAHdnOOk=")</f>
        <v>#VALUE!</v>
      </c>
      <c r="IA4" t="e">
        <f>AND('Normalized Values'!E14,"AAAAAHdnOOo=")</f>
        <v>#VALUE!</v>
      </c>
      <c r="IB4" t="e">
        <f>AND('Normalized Values'!F14,"AAAAAHdnOOs=")</f>
        <v>#VALUE!</v>
      </c>
      <c r="IC4" t="e">
        <f>AND('Normalized Values'!G14,"AAAAAHdnOOw=")</f>
        <v>#VALUE!</v>
      </c>
      <c r="ID4" t="e">
        <f>AND('Normalized Values'!H14,"AAAAAHdnOO0=")</f>
        <v>#VALUE!</v>
      </c>
      <c r="IE4" t="e">
        <f>AND('Normalized Values'!I14,"AAAAAHdnOO4=")</f>
        <v>#VALUE!</v>
      </c>
      <c r="IF4">
        <f>IF('Normalized Values'!15:15,"AAAAAHdnOO8=",0)</f>
        <v>0</v>
      </c>
      <c r="IG4" t="e">
        <f>AND('Normalized Values'!A15,"AAAAAHdnOPA=")</f>
        <v>#VALUE!</v>
      </c>
      <c r="IH4" t="e">
        <f>AND('Normalized Values'!B15,"AAAAAHdnOPE=")</f>
        <v>#VALUE!</v>
      </c>
      <c r="II4" t="e">
        <f>AND('Normalized Values'!C15,"AAAAAHdnOPI=")</f>
        <v>#VALUE!</v>
      </c>
      <c r="IJ4" t="e">
        <f>AND('Normalized Values'!D15,"AAAAAHdnOPM=")</f>
        <v>#VALUE!</v>
      </c>
      <c r="IK4" t="e">
        <f>AND('Normalized Values'!E15,"AAAAAHdnOPQ=")</f>
        <v>#VALUE!</v>
      </c>
      <c r="IL4" t="e">
        <f>AND('Normalized Values'!F15,"AAAAAHdnOPU=")</f>
        <v>#VALUE!</v>
      </c>
      <c r="IM4" t="e">
        <f>AND('Normalized Values'!G15,"AAAAAHdnOPY=")</f>
        <v>#VALUE!</v>
      </c>
      <c r="IN4" t="e">
        <f>AND('Normalized Values'!H15,"AAAAAHdnOPc=")</f>
        <v>#VALUE!</v>
      </c>
      <c r="IO4" t="e">
        <f>AND('Normalized Values'!I15,"AAAAAHdnOPg=")</f>
        <v>#VALUE!</v>
      </c>
      <c r="IP4">
        <f>IF('Normalized Values'!16:16,"AAAAAHdnOPk=",0)</f>
        <v>0</v>
      </c>
      <c r="IQ4" t="e">
        <f>AND('Normalized Values'!A16,"AAAAAHdnOPo=")</f>
        <v>#VALUE!</v>
      </c>
      <c r="IR4" t="e">
        <f>AND('Normalized Values'!B16,"AAAAAHdnOPs=")</f>
        <v>#VALUE!</v>
      </c>
      <c r="IS4" t="e">
        <f>AND('Normalized Values'!C16,"AAAAAHdnOPw=")</f>
        <v>#VALUE!</v>
      </c>
      <c r="IT4" t="e">
        <f>AND('Normalized Values'!D16,"AAAAAHdnOP0=")</f>
        <v>#VALUE!</v>
      </c>
      <c r="IU4" t="e">
        <f>AND('Normalized Values'!E16,"AAAAAHdnOP4=")</f>
        <v>#VALUE!</v>
      </c>
      <c r="IV4" t="e">
        <f>AND('Normalized Values'!F16,"AAAAAHdnOP8=")</f>
        <v>#VALUE!</v>
      </c>
    </row>
    <row r="5" spans="1:256" x14ac:dyDescent="0.25">
      <c r="A5" t="e">
        <f>AND('Normalized Values'!G16,"AAAAAHa8nwA=")</f>
        <v>#VALUE!</v>
      </c>
      <c r="B5" t="e">
        <f>AND('Normalized Values'!H16,"AAAAAHa8nwE=")</f>
        <v>#VALUE!</v>
      </c>
      <c r="C5" t="e">
        <f>AND('Normalized Values'!I16,"AAAAAHa8nwI=")</f>
        <v>#VALUE!</v>
      </c>
      <c r="D5" t="str">
        <f>IF('Normalized Values'!17:17,"AAAAAHa8nwM=",0)</f>
        <v>AAAAAHa8nwM=</v>
      </c>
      <c r="E5" t="e">
        <f>AND('Normalized Values'!A17,"AAAAAHa8nwQ=")</f>
        <v>#VALUE!</v>
      </c>
      <c r="F5" t="e">
        <f>AND('Normalized Values'!B17,"AAAAAHa8nwU=")</f>
        <v>#VALUE!</v>
      </c>
      <c r="G5" t="e">
        <f>AND('Normalized Values'!C17,"AAAAAHa8nwY=")</f>
        <v>#VALUE!</v>
      </c>
      <c r="H5" t="e">
        <f>AND('Normalized Values'!D17,"AAAAAHa8nwc=")</f>
        <v>#VALUE!</v>
      </c>
      <c r="I5" t="e">
        <f>AND('Normalized Values'!E17,"AAAAAHa8nwg=")</f>
        <v>#VALUE!</v>
      </c>
      <c r="J5" t="e">
        <f>AND('Normalized Values'!F17,"AAAAAHa8nwk=")</f>
        <v>#VALUE!</v>
      </c>
      <c r="K5" t="e">
        <f>AND('Normalized Values'!G17,"AAAAAHa8nwo=")</f>
        <v>#VALUE!</v>
      </c>
      <c r="L5" t="e">
        <f>AND('Normalized Values'!H17,"AAAAAHa8nws=")</f>
        <v>#VALUE!</v>
      </c>
      <c r="M5" t="e">
        <f>AND('Normalized Values'!I17,"AAAAAHa8nww=")</f>
        <v>#VALUE!</v>
      </c>
      <c r="N5">
        <f>IF('Normalized Values'!18:18,"AAAAAHa8nw0=",0)</f>
        <v>0</v>
      </c>
      <c r="O5" t="e">
        <f>AND('Normalized Values'!A18,"AAAAAHa8nw4=")</f>
        <v>#VALUE!</v>
      </c>
      <c r="P5" t="e">
        <f>AND('Normalized Values'!B18,"AAAAAHa8nw8=")</f>
        <v>#VALUE!</v>
      </c>
      <c r="Q5" t="e">
        <f>AND('Normalized Values'!C18,"AAAAAHa8nxA=")</f>
        <v>#VALUE!</v>
      </c>
      <c r="R5" t="e">
        <f>AND('Normalized Values'!D18,"AAAAAHa8nxE=")</f>
        <v>#VALUE!</v>
      </c>
      <c r="S5" t="e">
        <f>AND('Normalized Values'!E18,"AAAAAHa8nxI=")</f>
        <v>#VALUE!</v>
      </c>
      <c r="T5" t="e">
        <f>AND('Normalized Values'!F18,"AAAAAHa8nxM=")</f>
        <v>#VALUE!</v>
      </c>
      <c r="U5" t="e">
        <f>AND('Normalized Values'!G18,"AAAAAHa8nxQ=")</f>
        <v>#VALUE!</v>
      </c>
      <c r="V5" t="e">
        <f>AND('Normalized Values'!H18,"AAAAAHa8nxU=")</f>
        <v>#VALUE!</v>
      </c>
      <c r="W5" t="e">
        <f>AND('Normalized Values'!I18,"AAAAAHa8nxY=")</f>
        <v>#VALUE!</v>
      </c>
      <c r="X5">
        <f>IF('Normalized Values'!19:19,"AAAAAHa8nxc=",0)</f>
        <v>0</v>
      </c>
      <c r="Y5" t="e">
        <f>AND('Normalized Values'!A19,"AAAAAHa8nxg=")</f>
        <v>#VALUE!</v>
      </c>
      <c r="Z5" t="e">
        <f>AND('Normalized Values'!B19,"AAAAAHa8nxk=")</f>
        <v>#VALUE!</v>
      </c>
      <c r="AA5" t="e">
        <f>AND('Normalized Values'!C19,"AAAAAHa8nxo=")</f>
        <v>#VALUE!</v>
      </c>
      <c r="AB5" t="e">
        <f>AND('Normalized Values'!D19,"AAAAAHa8nxs=")</f>
        <v>#VALUE!</v>
      </c>
      <c r="AC5" t="e">
        <f>AND('Normalized Values'!E19,"AAAAAHa8nxw=")</f>
        <v>#VALUE!</v>
      </c>
      <c r="AD5" t="e">
        <f>AND('Normalized Values'!F19,"AAAAAHa8nx0=")</f>
        <v>#VALUE!</v>
      </c>
      <c r="AE5" t="e">
        <f>AND('Normalized Values'!G19,"AAAAAHa8nx4=")</f>
        <v>#VALUE!</v>
      </c>
      <c r="AF5" t="e">
        <f>AND('Normalized Values'!H19,"AAAAAHa8nx8=")</f>
        <v>#VALUE!</v>
      </c>
      <c r="AG5" t="e">
        <f>AND('Normalized Values'!I19,"AAAAAHa8nyA=")</f>
        <v>#VALUE!</v>
      </c>
      <c r="AH5">
        <f>IF('Normalized Values'!20:20,"AAAAAHa8nyE=",0)</f>
        <v>0</v>
      </c>
      <c r="AI5" t="e">
        <f>AND('Normalized Values'!A20,"AAAAAHa8nyI=")</f>
        <v>#VALUE!</v>
      </c>
      <c r="AJ5" t="e">
        <f>AND('Normalized Values'!B20,"AAAAAHa8nyM=")</f>
        <v>#VALUE!</v>
      </c>
      <c r="AK5" t="e">
        <f>AND('Normalized Values'!C20,"AAAAAHa8nyQ=")</f>
        <v>#VALUE!</v>
      </c>
      <c r="AL5" t="e">
        <f>AND('Normalized Values'!D20,"AAAAAHa8nyU=")</f>
        <v>#VALUE!</v>
      </c>
      <c r="AM5" t="e">
        <f>AND('Normalized Values'!E20,"AAAAAHa8nyY=")</f>
        <v>#VALUE!</v>
      </c>
      <c r="AN5" t="e">
        <f>AND('Normalized Values'!F20,"AAAAAHa8nyc=")</f>
        <v>#VALUE!</v>
      </c>
      <c r="AO5" t="e">
        <f>AND('Normalized Values'!G20,"AAAAAHa8nyg=")</f>
        <v>#VALUE!</v>
      </c>
      <c r="AP5" t="e">
        <f>AND('Normalized Values'!H20,"AAAAAHa8nyk=")</f>
        <v>#VALUE!</v>
      </c>
      <c r="AQ5" t="e">
        <f>AND('Normalized Values'!I20,"AAAAAHa8nyo=")</f>
        <v>#VALUE!</v>
      </c>
      <c r="AR5">
        <f>IF('Normalized Values'!21:21,"AAAAAHa8nys=",0)</f>
        <v>0</v>
      </c>
      <c r="AS5" t="e">
        <f>AND('Normalized Values'!A21,"AAAAAHa8nyw=")</f>
        <v>#VALUE!</v>
      </c>
      <c r="AT5" t="e">
        <f>AND('Normalized Values'!B21,"AAAAAHa8ny0=")</f>
        <v>#VALUE!</v>
      </c>
      <c r="AU5" t="e">
        <f>AND('Normalized Values'!C21,"AAAAAHa8ny4=")</f>
        <v>#VALUE!</v>
      </c>
      <c r="AV5" t="e">
        <f>AND('Normalized Values'!D21,"AAAAAHa8ny8=")</f>
        <v>#VALUE!</v>
      </c>
      <c r="AW5" t="e">
        <f>AND('Normalized Values'!E21,"AAAAAHa8nzA=")</f>
        <v>#VALUE!</v>
      </c>
      <c r="AX5" t="e">
        <f>AND('Normalized Values'!F21,"AAAAAHa8nzE=")</f>
        <v>#VALUE!</v>
      </c>
      <c r="AY5" t="e">
        <f>AND('Normalized Values'!G21,"AAAAAHa8nzI=")</f>
        <v>#VALUE!</v>
      </c>
      <c r="AZ5" t="e">
        <f>AND('Normalized Values'!H21,"AAAAAHa8nzM=")</f>
        <v>#VALUE!</v>
      </c>
      <c r="BA5" t="e">
        <f>AND('Normalized Values'!I21,"AAAAAHa8nzQ=")</f>
        <v>#VALUE!</v>
      </c>
      <c r="BB5">
        <f>IF('Normalized Values'!22:22,"AAAAAHa8nzU=",0)</f>
        <v>0</v>
      </c>
      <c r="BC5" t="e">
        <f>AND('Normalized Values'!A22,"AAAAAHa8nzY=")</f>
        <v>#VALUE!</v>
      </c>
      <c r="BD5" t="e">
        <f>AND('Normalized Values'!B22,"AAAAAHa8nzc=")</f>
        <v>#VALUE!</v>
      </c>
      <c r="BE5" t="e">
        <f>AND('Normalized Values'!C22,"AAAAAHa8nzg=")</f>
        <v>#VALUE!</v>
      </c>
      <c r="BF5" t="e">
        <f>AND('Normalized Values'!D22,"AAAAAHa8nzk=")</f>
        <v>#VALUE!</v>
      </c>
      <c r="BG5" t="e">
        <f>AND('Normalized Values'!E22,"AAAAAHa8nzo=")</f>
        <v>#VALUE!</v>
      </c>
      <c r="BH5" t="e">
        <f>AND('Normalized Values'!F22,"AAAAAHa8nzs=")</f>
        <v>#VALUE!</v>
      </c>
      <c r="BI5" t="e">
        <f>AND('Normalized Values'!G22,"AAAAAHa8nzw=")</f>
        <v>#VALUE!</v>
      </c>
      <c r="BJ5" t="e">
        <f>AND('Normalized Values'!H22,"AAAAAHa8nz0=")</f>
        <v>#VALUE!</v>
      </c>
      <c r="BK5" t="e">
        <f>AND('Normalized Values'!I22,"AAAAAHa8nz4=")</f>
        <v>#VALUE!</v>
      </c>
      <c r="BL5">
        <f>IF('Normalized Values'!23:23,"AAAAAHa8nz8=",0)</f>
        <v>0</v>
      </c>
      <c r="BM5" t="e">
        <f>AND('Normalized Values'!A23,"AAAAAHa8n0A=")</f>
        <v>#VALUE!</v>
      </c>
      <c r="BN5" t="e">
        <f>AND('Normalized Values'!B23,"AAAAAHa8n0E=")</f>
        <v>#VALUE!</v>
      </c>
      <c r="BO5" t="e">
        <f>AND('Normalized Values'!C23,"AAAAAHa8n0I=")</f>
        <v>#VALUE!</v>
      </c>
      <c r="BP5" t="e">
        <f>AND('Normalized Values'!D23,"AAAAAHa8n0M=")</f>
        <v>#VALUE!</v>
      </c>
      <c r="BQ5" t="e">
        <f>AND('Normalized Values'!E23,"AAAAAHa8n0Q=")</f>
        <v>#VALUE!</v>
      </c>
      <c r="BR5" t="e">
        <f>AND('Normalized Values'!F23,"AAAAAHa8n0U=")</f>
        <v>#VALUE!</v>
      </c>
      <c r="BS5" t="e">
        <f>AND('Normalized Values'!G23,"AAAAAHa8n0Y=")</f>
        <v>#VALUE!</v>
      </c>
      <c r="BT5" t="e">
        <f>AND('Normalized Values'!H23,"AAAAAHa8n0c=")</f>
        <v>#VALUE!</v>
      </c>
      <c r="BU5" t="e">
        <f>AND('Normalized Values'!I23,"AAAAAHa8n0g=")</f>
        <v>#VALUE!</v>
      </c>
      <c r="BV5">
        <f>IF('Normalized Values'!24:24,"AAAAAHa8n0k=",0)</f>
        <v>0</v>
      </c>
      <c r="BW5" t="e">
        <f>AND('Normalized Values'!A24,"AAAAAHa8n0o=")</f>
        <v>#VALUE!</v>
      </c>
      <c r="BX5" t="e">
        <f>AND('Normalized Values'!B24,"AAAAAHa8n0s=")</f>
        <v>#VALUE!</v>
      </c>
      <c r="BY5" t="e">
        <f>AND('Normalized Values'!C24,"AAAAAHa8n0w=")</f>
        <v>#VALUE!</v>
      </c>
      <c r="BZ5" t="e">
        <f>AND('Normalized Values'!D24,"AAAAAHa8n00=")</f>
        <v>#VALUE!</v>
      </c>
      <c r="CA5" t="e">
        <f>AND('Normalized Values'!E24,"AAAAAHa8n04=")</f>
        <v>#VALUE!</v>
      </c>
      <c r="CB5" t="e">
        <f>AND('Normalized Values'!F24,"AAAAAHa8n08=")</f>
        <v>#VALUE!</v>
      </c>
      <c r="CC5" t="e">
        <f>AND('Normalized Values'!G24,"AAAAAHa8n1A=")</f>
        <v>#VALUE!</v>
      </c>
      <c r="CD5" t="e">
        <f>AND('Normalized Values'!H24,"AAAAAHa8n1E=")</f>
        <v>#VALUE!</v>
      </c>
      <c r="CE5" t="e">
        <f>AND('Normalized Values'!I24,"AAAAAHa8n1I=")</f>
        <v>#VALUE!</v>
      </c>
      <c r="CF5">
        <f>IF('Normalized Values'!25:25,"AAAAAHa8n1M=",0)</f>
        <v>0</v>
      </c>
      <c r="CG5" t="e">
        <f>AND('Normalized Values'!A25,"AAAAAHa8n1Q=")</f>
        <v>#VALUE!</v>
      </c>
      <c r="CH5" t="e">
        <f>AND('Normalized Values'!B25,"AAAAAHa8n1U=")</f>
        <v>#VALUE!</v>
      </c>
      <c r="CI5" t="e">
        <f>AND('Normalized Values'!C25,"AAAAAHa8n1Y=")</f>
        <v>#VALUE!</v>
      </c>
      <c r="CJ5" t="e">
        <f>AND('Normalized Values'!D25,"AAAAAHa8n1c=")</f>
        <v>#VALUE!</v>
      </c>
      <c r="CK5" t="e">
        <f>AND('Normalized Values'!E25,"AAAAAHa8n1g=")</f>
        <v>#VALUE!</v>
      </c>
      <c r="CL5" t="e">
        <f>AND('Normalized Values'!F25,"AAAAAHa8n1k=")</f>
        <v>#VALUE!</v>
      </c>
      <c r="CM5" t="e">
        <f>AND('Normalized Values'!G25,"AAAAAHa8n1o=")</f>
        <v>#VALUE!</v>
      </c>
      <c r="CN5" t="e">
        <f>AND('Normalized Values'!H25,"AAAAAHa8n1s=")</f>
        <v>#VALUE!</v>
      </c>
      <c r="CO5" t="e">
        <f>AND('Normalized Values'!I25,"AAAAAHa8n1w=")</f>
        <v>#VALUE!</v>
      </c>
      <c r="CP5">
        <f>IF('Normalized Values'!26:26,"AAAAAHa8n10=",0)</f>
        <v>0</v>
      </c>
      <c r="CQ5" t="e">
        <f>AND('Normalized Values'!A26,"AAAAAHa8n14=")</f>
        <v>#VALUE!</v>
      </c>
      <c r="CR5" t="e">
        <f>AND('Normalized Values'!B26,"AAAAAHa8n18=")</f>
        <v>#VALUE!</v>
      </c>
      <c r="CS5" t="e">
        <f>AND('Normalized Values'!C26,"AAAAAHa8n2A=")</f>
        <v>#VALUE!</v>
      </c>
      <c r="CT5" t="e">
        <f>AND('Normalized Values'!D26,"AAAAAHa8n2E=")</f>
        <v>#VALUE!</v>
      </c>
      <c r="CU5" t="e">
        <f>AND('Normalized Values'!E26,"AAAAAHa8n2I=")</f>
        <v>#VALUE!</v>
      </c>
      <c r="CV5" t="e">
        <f>AND('Normalized Values'!F26,"AAAAAHa8n2M=")</f>
        <v>#VALUE!</v>
      </c>
      <c r="CW5" t="e">
        <f>AND('Normalized Values'!G26,"AAAAAHa8n2Q=")</f>
        <v>#VALUE!</v>
      </c>
      <c r="CX5" t="e">
        <f>AND('Normalized Values'!H26,"AAAAAHa8n2U=")</f>
        <v>#VALUE!</v>
      </c>
      <c r="CY5" t="e">
        <f>AND('Normalized Values'!I26,"AAAAAHa8n2Y=")</f>
        <v>#VALUE!</v>
      </c>
      <c r="CZ5">
        <f>IF('Normalized Values'!27:27,"AAAAAHa8n2c=",0)</f>
        <v>0</v>
      </c>
      <c r="DA5" t="e">
        <f>IF('Normalized Values'!A:A,"AAAAAHa8n2g=",0)</f>
        <v>#VALUE!</v>
      </c>
      <c r="DB5" t="str">
        <f>IF('Normalized Values'!B:B,"AAAAAHa8n2k=",0)</f>
        <v>AAAAAHa8n2k=</v>
      </c>
      <c r="DC5">
        <f>IF('Normalized Values'!C:C,"AAAAAHa8n2o=",0)</f>
        <v>0</v>
      </c>
      <c r="DD5" t="str">
        <f>IF('Normalized Values'!D:D,"AAAAAHa8n2s=",0)</f>
        <v>AAAAAHa8n2s=</v>
      </c>
      <c r="DE5" t="str">
        <f>IF('Normalized Values'!E:E,"AAAAAHa8n2w=",0)</f>
        <v>AAAAAHa8n2w=</v>
      </c>
      <c r="DF5" t="str">
        <f>IF('Normalized Values'!F:F,"AAAAAHa8n20=",0)</f>
        <v>AAAAAHa8n20=</v>
      </c>
      <c r="DG5" t="str">
        <f>IF('Normalized Values'!G:G,"AAAAAHa8n24=",0)</f>
        <v>AAAAAHa8n24=</v>
      </c>
      <c r="DH5">
        <f>IF('Normalized Values'!H:H,"AAAAAHa8n28=",0)</f>
        <v>0</v>
      </c>
      <c r="DI5" t="str">
        <f>IF('Normalized Values'!I:I,"AAAAAHa8n3A=",0)</f>
        <v>AAAAAHa8n3A=</v>
      </c>
      <c r="DJ5" s="3" t="s">
        <v>77</v>
      </c>
      <c r="DK5" t="s">
        <v>78</v>
      </c>
    </row>
    <row r="6" spans="1:256" x14ac:dyDescent="0.25">
      <c r="A6" t="e">
        <f>AND('Normalized Values'!A27,"AAAAAG+/5wA=")</f>
        <v>#VALUE!</v>
      </c>
      <c r="B6" t="e">
        <f>AND('Normalized Values'!B27,"AAAAAG+/5wE=")</f>
        <v>#VALUE!</v>
      </c>
      <c r="C6">
        <f>IF('Normalized Values'!28:28,"AAAAAG+/5wI=",0)</f>
        <v>0</v>
      </c>
      <c r="D6" t="e">
        <f>AND('Normalized Values'!A28,"AAAAAG+/5wM=")</f>
        <v>#VALUE!</v>
      </c>
      <c r="E6" t="e">
        <f>AND('Normalized Values'!B28,"AAAAAG+/5wQ=")</f>
        <v>#VALUE!</v>
      </c>
    </row>
  </sheetData>
  <pageMargins left="0.7" right="0.7" top="0.75" bottom="0.75" header="0.3" footer="0.3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Prices &amp; References</vt:lpstr>
      <vt:lpstr>Normalized Values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Carlton</dc:creator>
  <cp:lastModifiedBy>Carlton</cp:lastModifiedBy>
  <dcterms:created xsi:type="dcterms:W3CDTF">2012-10-03T14:06:37Z</dcterms:created>
  <dcterms:modified xsi:type="dcterms:W3CDTF">2012-10-03T18:19:55Z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19IgJbJ_0zwb-BJP73w9S2bh1E9dflojDPRtgLAru750</vt:lpwstr>
  </property>
  <property fmtid="{D5CDD505-2E9C-101B-9397-08002B2CF9AE}" pid="4" name="Google.Documents.RevisionId">
    <vt:lpwstr>13613046278030963096</vt:lpwstr>
  </property>
  <property fmtid="{D5CDD505-2E9C-101B-9397-08002B2CF9AE}" pid="5" name="Google.Documents.PreviousRevisionId">
    <vt:lpwstr>17447927755214502915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